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CFCF614A-2A73-F142-BF96-764B99A40F6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T32" i="1"/>
  <c r="BF33" i="1"/>
  <c r="BT33" i="1"/>
  <c r="BF34" i="1"/>
  <c r="BT34" i="1"/>
  <c r="BF35" i="1"/>
  <c r="BT35" i="1"/>
  <c r="BF36" i="1"/>
  <c r="BT36" i="1"/>
  <c r="BF37" i="1"/>
  <c r="BT37" i="1"/>
  <c r="BF38" i="1"/>
  <c r="BT38" i="1"/>
  <c r="BT39" i="1"/>
  <c r="BT40" i="1"/>
  <c r="BF41" i="1"/>
  <c r="BT41" i="1"/>
  <c r="BT42" i="1"/>
  <c r="BF43" i="1"/>
  <c r="BT43" i="1"/>
  <c r="BT44" i="1"/>
  <c r="BT45" i="1"/>
  <c r="BT46"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T65" i="1"/>
  <c r="BT66" i="1"/>
  <c r="BT67" i="1"/>
  <c r="BT68" i="1"/>
  <c r="BT69" i="1"/>
  <c r="BF70" i="1"/>
  <c r="BT70"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F106" i="1"/>
  <c r="BT106" i="1"/>
  <c r="BF107" i="1"/>
  <c r="BT107" i="1"/>
  <c r="BF108" i="1"/>
  <c r="BT108" i="1"/>
  <c r="BF109" i="1"/>
  <c r="BT109" i="1"/>
  <c r="BF110" i="1"/>
  <c r="BT110" i="1"/>
  <c r="BF111" i="1"/>
  <c r="BT111" i="1"/>
  <c r="BF112" i="1"/>
  <c r="BT112" i="1"/>
  <c r="BT113"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T141" i="1"/>
  <c r="BF142" i="1"/>
  <c r="BT142" i="1"/>
  <c r="BF143" i="1"/>
  <c r="BT143" i="1"/>
  <c r="BF144" i="1"/>
  <c r="BT144" i="1"/>
  <c r="BF145" i="1"/>
  <c r="BT145" i="1"/>
  <c r="BF146" i="1"/>
  <c r="BT146" i="1"/>
  <c r="BT147" i="1"/>
  <c r="BF148" i="1"/>
  <c r="BT148" i="1"/>
  <c r="BT149" i="1"/>
  <c r="BF150" i="1"/>
  <c r="BT150" i="1"/>
  <c r="BT151" i="1"/>
  <c r="BT152" i="1"/>
  <c r="BT153" i="1"/>
  <c r="BT154" i="1"/>
  <c r="BT155" i="1"/>
  <c r="BT156" i="1"/>
  <c r="BT157" i="1"/>
  <c r="BT158" i="1"/>
  <c r="BT159" i="1"/>
  <c r="BT160" i="1"/>
  <c r="BT161" i="1"/>
  <c r="BF162" i="1"/>
  <c r="BT162"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T175" i="1"/>
  <c r="BF176" i="1"/>
  <c r="BT176" i="1"/>
  <c r="BF177" i="1"/>
  <c r="BT177" i="1"/>
  <c r="BF178" i="1"/>
  <c r="BT178" i="1"/>
  <c r="BT179"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T247" i="1"/>
  <c r="BF248" i="1"/>
  <c r="BT248" i="1"/>
  <c r="BF249" i="1"/>
  <c r="BT249" i="1"/>
  <c r="BF250" i="1"/>
  <c r="BT250" i="1"/>
  <c r="BF251" i="1"/>
  <c r="BT251" i="1"/>
  <c r="BF252" i="1"/>
  <c r="BT252" i="1"/>
  <c r="BF253" i="1"/>
  <c r="BT253" i="1"/>
  <c r="BF254" i="1"/>
  <c r="BT254" i="1"/>
  <c r="BF255" i="1"/>
  <c r="BT255" i="1"/>
  <c r="BF256" i="1"/>
  <c r="BT256" i="1"/>
  <c r="BF257" i="1"/>
  <c r="BT257"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T281" i="1"/>
  <c r="BT282" i="1"/>
  <c r="BF283" i="1"/>
  <c r="BT283" i="1"/>
  <c r="BF284" i="1"/>
  <c r="BT284" i="1"/>
  <c r="BF285" i="1"/>
  <c r="BT285" i="1"/>
  <c r="BT286" i="1"/>
  <c r="BT287" i="1"/>
  <c r="BF288" i="1"/>
  <c r="BT288" i="1"/>
  <c r="BF289" i="1"/>
  <c r="BT289" i="1"/>
  <c r="BF290" i="1"/>
  <c r="BT290" i="1"/>
  <c r="BF291" i="1"/>
  <c r="BT291" i="1"/>
  <c r="BF292" i="1"/>
  <c r="BT292" i="1"/>
  <c r="BF293" i="1"/>
  <c r="BT293" i="1"/>
  <c r="BT294" i="1"/>
  <c r="BF295" i="1"/>
  <c r="BT295" i="1"/>
  <c r="BF296" i="1"/>
  <c r="BT296" i="1"/>
  <c r="BF297" i="1"/>
  <c r="BT297" i="1"/>
  <c r="BT298" i="1"/>
  <c r="BF299" i="1"/>
  <c r="BT299" i="1"/>
  <c r="BF300" i="1"/>
  <c r="BT300" i="1"/>
  <c r="BF301" i="1"/>
  <c r="BT301" i="1"/>
  <c r="BF302" i="1"/>
  <c r="BT302" i="1"/>
  <c r="BF303" i="1"/>
  <c r="BT303" i="1"/>
  <c r="BT304" i="1"/>
  <c r="BF305" i="1"/>
  <c r="BT305" i="1"/>
  <c r="BF306" i="1"/>
  <c r="BT306" i="1"/>
  <c r="BF307" i="1"/>
  <c r="BT307" i="1"/>
  <c r="BF308" i="1"/>
  <c r="BT308" i="1"/>
  <c r="BF309" i="1"/>
  <c r="BT309" i="1"/>
  <c r="BF310" i="1"/>
  <c r="BT310" i="1"/>
  <c r="BT311"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T334" i="1"/>
  <c r="BF335" i="1"/>
  <c r="BT335" i="1"/>
  <c r="BF336" i="1"/>
  <c r="BT336" i="1"/>
  <c r="BF337" i="1"/>
  <c r="BT337" i="1"/>
  <c r="BF338" i="1"/>
  <c r="BT338" i="1"/>
  <c r="BF339" i="1"/>
  <c r="BT339" i="1"/>
  <c r="BT340" i="1"/>
  <c r="BF341" i="1"/>
  <c r="BT341"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T395" i="1"/>
  <c r="BT396" i="1"/>
  <c r="BF397" i="1"/>
  <c r="BT397" i="1"/>
  <c r="BF398" i="1"/>
  <c r="BT398" i="1"/>
  <c r="BT399" i="1"/>
  <c r="BF400" i="1"/>
  <c r="BT400" i="1"/>
  <c r="BT401" i="1"/>
  <c r="BT402" i="1"/>
  <c r="BF403" i="1"/>
  <c r="BT403" i="1"/>
  <c r="BT404" i="1"/>
  <c r="BF405" i="1"/>
  <c r="BT405" i="1"/>
  <c r="BT406" i="1"/>
  <c r="BT407" i="1"/>
  <c r="BT408" i="1"/>
  <c r="BF409" i="1"/>
  <c r="BT409" i="1"/>
  <c r="BF410" i="1"/>
  <c r="BT410" i="1"/>
  <c r="BF411" i="1"/>
  <c r="BT411" i="1"/>
  <c r="BF412" i="1"/>
  <c r="BT412" i="1"/>
  <c r="BT413" i="1"/>
  <c r="BT414" i="1"/>
  <c r="BF415" i="1"/>
  <c r="BT415" i="1"/>
  <c r="BF416" i="1"/>
  <c r="BT416" i="1"/>
  <c r="BF417" i="1"/>
  <c r="BT417" i="1"/>
  <c r="BF418" i="1"/>
  <c r="BT418" i="1"/>
  <c r="BT419" i="1"/>
  <c r="BF420" i="1"/>
  <c r="BT420" i="1"/>
  <c r="BF421" i="1"/>
  <c r="BT421" i="1"/>
  <c r="BT422" i="1"/>
  <c r="BF423" i="1"/>
  <c r="BT423"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T451" i="1"/>
  <c r="BT452" i="1"/>
  <c r="BT453" i="1"/>
  <c r="BT454" i="1"/>
  <c r="BT455" i="1"/>
  <c r="BF456" i="1"/>
  <c r="BT456" i="1"/>
  <c r="BT457" i="1"/>
  <c r="BT458" i="1"/>
  <c r="BF459" i="1"/>
  <c r="BT459" i="1"/>
  <c r="BF460" i="1"/>
  <c r="BT460" i="1"/>
  <c r="BF461" i="1"/>
  <c r="BT461" i="1"/>
  <c r="BT462" i="1"/>
  <c r="BF463" i="1"/>
  <c r="BT463" i="1"/>
  <c r="BF464" i="1"/>
  <c r="BT464" i="1"/>
  <c r="BF465" i="1"/>
  <c r="BT465" i="1"/>
  <c r="BT466" i="1"/>
  <c r="BT467" i="1"/>
  <c r="BT468" i="1"/>
  <c r="BF469" i="1"/>
  <c r="BT469" i="1"/>
  <c r="BT470" i="1"/>
  <c r="BT471" i="1"/>
  <c r="BF472" i="1"/>
  <c r="BT472" i="1"/>
  <c r="BF473" i="1"/>
  <c r="BT473" i="1"/>
  <c r="BF474" i="1"/>
  <c r="BT474" i="1"/>
  <c r="BF475" i="1"/>
  <c r="BT475" i="1"/>
  <c r="BF476" i="1"/>
  <c r="BT476"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T521" i="1"/>
  <c r="BF522" i="1"/>
  <c r="BT522" i="1"/>
  <c r="BF523" i="1"/>
  <c r="BT523"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T540" i="1"/>
  <c r="BF541" i="1"/>
  <c r="BT541" i="1"/>
  <c r="BF542" i="1"/>
  <c r="BT542" i="1"/>
  <c r="BF543" i="1"/>
  <c r="BT543" i="1"/>
  <c r="BF544" i="1"/>
  <c r="BT544" i="1"/>
  <c r="BF545" i="1"/>
  <c r="BT545" i="1"/>
  <c r="BF546" i="1"/>
  <c r="BT546" i="1"/>
  <c r="BT547" i="1"/>
  <c r="BF548" i="1"/>
  <c r="BT548" i="1"/>
  <c r="BT549" i="1"/>
  <c r="BF550" i="1"/>
  <c r="BT550" i="1"/>
  <c r="BT551"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T587" i="1"/>
  <c r="BT588" i="1"/>
  <c r="BF589" i="1"/>
  <c r="BT589" i="1"/>
  <c r="BF590" i="1"/>
  <c r="BT590" i="1"/>
  <c r="BF591" i="1"/>
  <c r="BT591" i="1"/>
  <c r="BF592" i="1"/>
  <c r="BT592" i="1"/>
  <c r="BF593" i="1"/>
  <c r="BT593" i="1"/>
  <c r="BF594" i="1"/>
  <c r="BT594" i="1"/>
  <c r="BF595" i="1"/>
  <c r="BT595" i="1"/>
  <c r="BF596" i="1"/>
  <c r="BT596" i="1"/>
  <c r="BF597" i="1"/>
  <c r="BT597" i="1"/>
  <c r="BF598" i="1"/>
  <c r="BT598" i="1"/>
  <c r="BT599" i="1"/>
  <c r="BT600" i="1"/>
  <c r="BT601" i="1"/>
  <c r="BF602" i="1"/>
  <c r="BT602" i="1"/>
  <c r="BT603" i="1"/>
  <c r="BF604" i="1"/>
  <c r="BT604" i="1"/>
  <c r="BF605" i="1"/>
  <c r="BT605" i="1"/>
  <c r="BF606" i="1"/>
  <c r="BT606" i="1"/>
  <c r="BF607" i="1"/>
  <c r="BT607" i="1"/>
  <c r="BF608" i="1"/>
  <c r="BT608" i="1"/>
  <c r="BF609" i="1"/>
  <c r="BT609" i="1"/>
  <c r="BF610" i="1"/>
  <c r="BT610" i="1"/>
  <c r="BF611" i="1"/>
  <c r="BT611" i="1"/>
  <c r="BF612" i="1"/>
  <c r="BT612" i="1"/>
  <c r="BF613" i="1"/>
  <c r="BT613" i="1"/>
  <c r="BT614" i="1"/>
  <c r="BF615" i="1"/>
  <c r="BT615" i="1"/>
  <c r="BF616" i="1"/>
  <c r="BT616" i="1"/>
  <c r="BF617" i="1"/>
  <c r="BT617" i="1"/>
  <c r="BT618" i="1"/>
  <c r="BF619" i="1"/>
  <c r="BT619" i="1"/>
  <c r="BF620" i="1"/>
  <c r="BT620" i="1"/>
  <c r="BF621" i="1"/>
  <c r="BT621" i="1"/>
  <c r="BT622" i="1"/>
  <c r="BT623" i="1"/>
  <c r="BT624" i="1"/>
  <c r="BT625" i="1"/>
  <c r="BF626" i="1"/>
  <c r="BT626" i="1"/>
  <c r="BF627" i="1"/>
  <c r="BT627"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T648" i="1"/>
  <c r="BF649" i="1"/>
  <c r="BT649" i="1"/>
  <c r="BF650" i="1"/>
  <c r="BT650" i="1"/>
  <c r="BF651" i="1"/>
  <c r="BT651" i="1"/>
  <c r="BF652" i="1"/>
  <c r="BT652" i="1"/>
  <c r="BF653" i="1"/>
  <c r="BT653" i="1"/>
  <c r="BF654" i="1"/>
  <c r="BT654" i="1"/>
  <c r="BF655" i="1"/>
  <c r="BT655" i="1"/>
  <c r="BF656" i="1"/>
  <c r="BT656" i="1"/>
  <c r="BF657" i="1"/>
  <c r="BT657" i="1"/>
  <c r="BF658" i="1"/>
  <c r="BT658"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T701" i="1"/>
  <c r="BF702" i="1"/>
  <c r="BT702"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T723" i="1"/>
  <c r="BF724" i="1"/>
  <c r="BT724" i="1"/>
  <c r="BF725" i="1"/>
  <c r="BT725" i="1"/>
  <c r="BF726" i="1"/>
  <c r="BT726" i="1"/>
  <c r="BF727" i="1"/>
  <c r="BT727" i="1"/>
  <c r="BF728" i="1"/>
  <c r="BT728" i="1"/>
  <c r="BF729" i="1"/>
  <c r="BT729" i="1"/>
  <c r="BF730" i="1"/>
  <c r="BT730"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T751" i="1"/>
  <c r="BF752" i="1"/>
  <c r="BT752" i="1"/>
  <c r="BF753" i="1"/>
  <c r="BT753" i="1"/>
  <c r="BF754" i="1"/>
  <c r="BT754" i="1"/>
  <c r="BF755" i="1"/>
  <c r="BT755" i="1"/>
  <c r="BF756" i="1"/>
  <c r="BT756" i="1"/>
  <c r="BF757" i="1"/>
  <c r="BT757"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T805" i="1"/>
  <c r="BT806" i="1"/>
  <c r="BF807" i="1"/>
  <c r="BT807" i="1"/>
  <c r="BF808" i="1"/>
  <c r="BT808" i="1"/>
  <c r="BF809" i="1"/>
  <c r="BT809" i="1"/>
  <c r="BF810" i="1"/>
  <c r="BT810" i="1"/>
  <c r="BF811" i="1"/>
  <c r="BT811" i="1"/>
  <c r="BF812" i="1"/>
  <c r="BT812" i="1"/>
  <c r="BF813" i="1"/>
  <c r="BT813" i="1"/>
  <c r="BF814" i="1"/>
  <c r="BT814" i="1"/>
  <c r="BF815" i="1"/>
  <c r="BT815"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T834" i="1"/>
  <c r="BF835" i="1"/>
  <c r="BT835" i="1"/>
  <c r="BF836" i="1"/>
  <c r="BT836" i="1"/>
  <c r="BF837" i="1"/>
  <c r="BT837" i="1"/>
  <c r="BF838" i="1"/>
  <c r="BT838" i="1"/>
  <c r="BF839" i="1"/>
  <c r="BT839" i="1"/>
  <c r="BF840" i="1"/>
  <c r="BT840" i="1"/>
  <c r="BF841" i="1"/>
  <c r="BT841" i="1"/>
  <c r="BF842" i="1"/>
  <c r="BT842" i="1"/>
  <c r="BF843" i="1"/>
  <c r="BT843" i="1"/>
  <c r="BF844" i="1"/>
  <c r="BT844"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T880" i="1"/>
  <c r="BF881" i="1"/>
  <c r="BT881" i="1"/>
  <c r="BT882" i="1"/>
  <c r="BF883" i="1"/>
  <c r="BT883" i="1"/>
  <c r="BF884" i="1"/>
  <c r="BT884" i="1"/>
  <c r="BF885" i="1"/>
  <c r="BT885" i="1"/>
  <c r="BF886" i="1"/>
  <c r="BT886" i="1"/>
  <c r="BF887" i="1"/>
  <c r="BT887" i="1"/>
  <c r="BF888" i="1"/>
  <c r="BT888" i="1"/>
  <c r="BT889" i="1"/>
  <c r="BF890" i="1"/>
  <c r="BT890" i="1"/>
  <c r="BF891" i="1"/>
  <c r="BT891" i="1"/>
  <c r="BF892" i="1"/>
  <c r="BT892" i="1"/>
  <c r="BF893" i="1"/>
  <c r="BT893" i="1"/>
  <c r="BF894" i="1"/>
  <c r="BT894" i="1"/>
  <c r="BF895" i="1"/>
  <c r="BT895" i="1"/>
  <c r="BF896" i="1"/>
  <c r="BT896" i="1"/>
  <c r="BF897" i="1"/>
  <c r="BT897" i="1"/>
  <c r="BF898" i="1"/>
  <c r="BT898" i="1"/>
  <c r="BF899" i="1"/>
  <c r="BT899" i="1"/>
  <c r="BT900" i="1"/>
  <c r="BF901" i="1"/>
  <c r="BT901" i="1"/>
  <c r="BF902" i="1"/>
  <c r="BT902" i="1"/>
  <c r="BF903" i="1"/>
  <c r="BT903" i="1"/>
  <c r="BF904" i="1"/>
  <c r="BT904" i="1"/>
  <c r="BF905" i="1"/>
  <c r="BT905" i="1"/>
  <c r="BF906" i="1"/>
  <c r="BT906" i="1"/>
  <c r="BF907" i="1"/>
  <c r="BT907" i="1"/>
  <c r="BF908" i="1"/>
  <c r="BT908" i="1"/>
  <c r="BF909" i="1"/>
  <c r="BT909" i="1"/>
  <c r="BT910"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T931" i="1"/>
  <c r="BF932" i="1"/>
  <c r="BT932" i="1"/>
  <c r="BF933" i="1"/>
  <c r="BT933" i="1"/>
  <c r="BT934" i="1"/>
  <c r="BT935"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T956" i="1"/>
  <c r="BT957" i="1"/>
  <c r="BF958" i="1"/>
  <c r="BT958" i="1"/>
  <c r="BF959" i="1"/>
  <c r="BT959" i="1"/>
  <c r="BF960" i="1"/>
  <c r="BT960" i="1"/>
  <c r="BF961" i="1"/>
  <c r="BT961" i="1"/>
  <c r="BF962" i="1"/>
  <c r="BT962" i="1"/>
  <c r="BF963" i="1"/>
  <c r="BT963" i="1"/>
  <c r="BF964" i="1"/>
  <c r="BT964" i="1"/>
  <c r="BF965" i="1"/>
  <c r="BT965" i="1"/>
  <c r="BF966" i="1"/>
  <c r="BT966" i="1"/>
  <c r="BF967" i="1"/>
  <c r="BT967"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T980" i="1"/>
  <c r="BF981" i="1"/>
  <c r="BT981" i="1"/>
  <c r="BF982" i="1"/>
  <c r="BT982" i="1"/>
  <c r="BF983" i="1"/>
  <c r="BT983"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<sst xmlns="http://schemas.openxmlformats.org/spreadsheetml/2006/main" count="59778" uniqueCount="16274">
  <si>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</si>
  <si>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</si>
  <si>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</si>
  <si>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</si>
  <si>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</si>
  <si>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</si>
  <si>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</si>
  <si>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</si>
  <si>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</si>
  <si>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</si>
  <si>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</si>
  <si>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</si>
  <si>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</si>
  <si>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</si>
  <si>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</si>
  <si>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</si>
  <si>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</si>
  <si>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</si>
  <si>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</si>
  <si>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</si>
  <si>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</si>
  <si>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</si>
  <si>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</si>
  <si>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</si>
  <si>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</si>
  <si>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</si>
  <si>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</si>
  <si>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</si>
  <si>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</si>
  <si>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</si>
  <si>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</si>
  <si>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</si>
  <si>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</si>
  <si>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</si>
  <si>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</si>
  <si>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</si>
  <si>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</si>
  <si>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</si>
  <si>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</si>
  <si>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</si>
  <si>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</si>
  <si>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</si>
  <si>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</si>
  <si>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</si>
  <si>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</si>
  <si>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</si>
  <si>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</si>
  <si>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</si>
  <si>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</si>
  <si>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</si>
  <si>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</si>
  <si>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</si>
  <si>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</si>
  <si>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</si>
  <si>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</si>
  <si>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</si>
  <si>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</si>
  <si>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</si>
  <si>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</si>
  <si>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</si>
  <si>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</si>
  <si>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</si>
  <si>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</si>
  <si>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</si>
  <si>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</si>
  <si>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</si>
  <si>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</si>
  <si>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</si>
  <si>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</si>
  <si>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</si>
  <si>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</si>
  <si>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</si>
  <si>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</si>
  <si>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Lewis, SE; Wüst, RAJ; Webster, JM; Shields, GA</t>
  </si>
  <si>
    <t/>
  </si>
  <si>
    <t>Lewis, Stephen E.; Wust, Raphael A. J.; Webster, Jody M.; Shields, Graham A.</t>
  </si>
  <si>
    <t>Mid-late holocene sea-level variability in eastern Australia</t>
  </si>
  <si>
    <t>TERRA NOVA</t>
  </si>
  <si>
    <t>English</t>
  </si>
  <si>
    <t>Article</t>
  </si>
  <si>
    <t>GREAT-BARRIER-REEF; FIXED BIOLOGICAL INDICATORS; SOUTH CHINA COAST; COOK-ISLANDS; ICE-SHEET; RISE; CURVE; PENINSULA; PACIFIC; CLIMATE</t>
  </si>
  <si>
    <t>A re-analysis of sea-level data from eastern Australia based on 115 calibrated C-14 ages is used to constrain the origin, timing and magnitude of sea-level change over the last 7000 years. We demonstrate that the Holocene sea-level highstand of +1.0-1.5 m was reached similar to 7000 cal yr Bp and fell to its present position after 2000 yr Bp. These findings are in contrast to most previous studies that relied on smaller datasets and did not include the now common conversion of conventional C-14 ages to calendar years. During this similar to 5000 year period of high sea level, growth hiatuses in oyster beds and tubeworms and lower elevations of coral microatolls are interpreted to represent short-lived oscillations in sea-level of up to 1 m during two intervals, beginning c. 4800 and 3000 cal yr Bp. The rates of sea-level rise and fall (1-2 mm yr(-1)) during these centennial-scale oscillations are comparable with current rates of sea-level rise. The origin of the oscillations is enigmatic but most likely the result of oceanographic and climatic changes, including wind strengths, ice ablation, and melt-water contributions of both Greenland and Antarctic ice sheets.</t>
  </si>
  <si>
    <t>[Lewis, Stephen E.; Wust, Raphael A. J.; Webster, Jody M.; Shields, Graham A.] James Cook Univ N Queensland, Sch Earth &amp; Environm Sci, Townsville, Qld 4811, Australia</t>
  </si>
  <si>
    <t>James Cook University</t>
  </si>
  <si>
    <t>Lewis, SE (corresponding author), James Cook Univ N Queensland, Australian Ctr Trop Freshwater Res, Townsville, Qld 4811, Australia.</t>
  </si>
  <si>
    <t>stephen.lewis@jcu.edu.au</t>
  </si>
  <si>
    <t>Shields-Zhou, Graham/B-6285-2009; Lewis, Stephen/P-7205-2016</t>
  </si>
  <si>
    <t>Shields-Zhou, Graham/0000-0002-7828-3966; Lewis, Stephen/0000-0002-6929-6626; Wust, Raphael/0000-0002-8472-7658</t>
  </si>
  <si>
    <t>WILEY-BLACKWELL</t>
  </si>
  <si>
    <t>HOBOKEN</t>
  </si>
  <si>
    <t>111 RIVER ST, HOBOKEN 07030-5774, NJ USA</t>
  </si>
  <si>
    <t>0954-4879</t>
  </si>
  <si>
    <t>1365-3121</t>
  </si>
  <si>
    <t>Terr. Nova</t>
  </si>
  <si>
    <t>FEB</t>
  </si>
  <si>
    <t>10.1111/j.1365-3121.2007.00789.x</t>
  </si>
  <si>
    <t>Geosciences, Multidisciplinary</t>
  </si>
  <si>
    <t>Science Citation Index Expanded (SCI-EXPANDED)</t>
  </si>
  <si>
    <t>Geology</t>
  </si>
  <si>
    <t>254LW</t>
  </si>
  <si>
    <t>2024-04-21</t>
  </si>
  <si>
    <t>WOS:000252589100010</t>
  </si>
  <si>
    <t>Patterson, TA; Thomas, L; Wilcox, C; Ovaskainen, O; Matthiopoulos, J</t>
  </si>
  <si>
    <t>Patterson, Toby A.; Thomas, Len; Wilcox, Chris; Ovaskainen, Otso; Matthiopoulos, Jason</t>
  </si>
  <si>
    <t>State-space models of individual animal movement</t>
  </si>
  <si>
    <t>TRENDS IN ECOLOGY &amp; EVOLUTION</t>
  </si>
  <si>
    <t>Review</t>
  </si>
  <si>
    <t>FORAGING MOVEMENTS; LOCATION ACCURACY; HABITAT USE; BEHAVIOR; SEA; TIME; LANDSCAPE; DYNAMICS; PATTERNS; TRACKING</t>
  </si>
  <si>
    <t>Detailed observation of the movement of individual animals offers the potential to understand spatial population processes as the ultimate consequence of individual behaviour, physiological constraints and fine-scale environmental influences. However, movement data from individuals are intrinsically stochastic and often subject to severe observation error. Linking such complex data to dynamical models of movement is a major challenge for animal ecology. Here, we review a statistical approach, state-space modelling, which involves changing how we analyse movement data and draw inferences about the behaviours that shape it. The statistical robustness and predictive ability of state-space models make them the most promising avenue towards a new type of movement ecology that fuses insights from the study of animal behaviour, biogeography and spatial population dynamics.</t>
  </si>
  <si>
    <t>[Patterson, Toby A.; Wilcox, Chris] Commonwealth Ind &amp; Sci Res Assoc CSIRO Marine &amp; A, Hobart, Tas 7001, Australia; [Patterson, Toby A.] Univ Tasmania, Sch Zool, Antarctic Wildlife Res Unit, Hobart, Tas 7001, Australia; [Thomas, Len; Matthiopoulos, Jason] Univ St Andrews, Ctr Res Environm &amp; Ecol Modelling, St Andrews KY16 9LZ, Fife, Scotland; [Ovaskainen, Otso] Univ Helsinki, Dept Biol &amp; Environm Sci, Metapopulat Res Grp, FI-00014 Helsinki, Finland; [Matthiopoulos, Jason] Univ St Andrews, Gatty Marine Lab, NERC, Sea Mammal Res Unit, St Andrews KY16 8LB, Fife, Scotland</t>
  </si>
  <si>
    <t>Commonwealth Scientific &amp; Industrial Research Organisation (CSIRO); University of Tasmania; University of St Andrews; University of Helsinki; UK Research &amp; Innovation (UKRI); Natural Environment Research Council (NERC); University of St Andrews</t>
  </si>
  <si>
    <t>Patterson, TA (corresponding author), Commonwealth Ind &amp; Sci Res Assoc CSIRO Marine &amp; A, GPO Box 1538, Hobart, Tas 7001, Australia.</t>
  </si>
  <si>
    <t>Toby.Patterson@csiro.au</t>
  </si>
  <si>
    <t>Thomas, Len/JQI-5425-2023; Matthiopoulos, Jason/N-9808-2013; Ovaskainen, Otso/D-9119-2012; Ovaskainen, Otso/AGN-4838-2022; Patterson, Toby A/B-3836-2011; Wilcox, Chris/A-3585-2010</t>
  </si>
  <si>
    <t>Matthiopoulos, Jason/0000-0003-3639-8172; Ovaskainen, Otso/0000-0001-9750-4421; Ovaskainen, Otso/0000-0001-9750-4421;</t>
  </si>
  <si>
    <t>Natural Environment Research Council [smru10001] Funding Source: researchfish</t>
  </si>
  <si>
    <t>Natural Environment Research Council(UK Research &amp; Innovation (UKRI)Natural Environment Research Council (NERC))</t>
  </si>
  <si>
    <t>ELSEVIER SCIENCE LONDON</t>
  </si>
  <si>
    <t>LONDON</t>
  </si>
  <si>
    <t>84 THEOBALDS RD, LONDON WC1X 8RR, ENGLAND</t>
  </si>
  <si>
    <t>0169-5347</t>
  </si>
  <si>
    <t>1872-8383</t>
  </si>
  <si>
    <t>TRENDS ECOL EVOL</t>
  </si>
  <si>
    <t>Trends Ecol. Evol.</t>
  </si>
  <si>
    <t>10.1016/j.tree.2007.10.009</t>
  </si>
  <si>
    <t>Ecology; Evolutionary Biology; Genetics &amp; Heredity</t>
  </si>
  <si>
    <t>Environmental Sciences &amp; Ecology; Evolutionary Biology; Genetics &amp; Heredity</t>
  </si>
  <si>
    <t>268ZT</t>
  </si>
  <si>
    <t>Green Published, Green Accepted</t>
  </si>
  <si>
    <t>WOS:000253620000007</t>
  </si>
  <si>
    <t>Leal, MA; Joppert, M; Licínio, MV; Evangelista, H; Maldonado, J; Dalia, KC; Lima, C; Leite, CVB; Correa, SM; Medeiros, G; da Cunha, KD</t>
  </si>
  <si>
    <t>Leal, M. A.; Joppert, M.; Licinio, M. V.; Evangelista, H.; Maldonado, J.; Dalia, K. C.; Lima, C.; Leite, C. V. Barros; Correa, S. M.; Medeiros, Geiza; da Cunha, K. Dias</t>
  </si>
  <si>
    <t>Atmospheric impacts due to anthropogenic activities in remote areas:: The case study of admiralty Bay/King George Island/Antarctic Peninsula</t>
  </si>
  <si>
    <t>WATER AIR AND SOIL POLLUTION</t>
  </si>
  <si>
    <t>aerosol; Antarctica; PIXE; anthropogenic impact; atmospheric transport</t>
  </si>
  <si>
    <t>ANTARCTIC PENINSULA; PARTICLE ANALYSIS; AEROSOLS; PIXE; STATION</t>
  </si>
  <si>
    <t>The aim of the present work is to characterize the local atmospheric emissions levels and compare them to the component derived from global pollution in a remote site at South Hemisphere (Admiralty Bay located at King George Island in Antarctic Peninsula). Airborne particles, snow and soil/sediments samples were analyzed. Local-produced atmospheric aerosol dispersion was estimated for metals originated by fossil fuel burning from the permanent scientific stations using a simplified Gaussian model. Validation of atmospheric dispersion was established by in situ measurements. Soluble and insoluble particles deposited in freshly snow and airborne particles were analyzed by PIXE (Particle Induced X-Ray Emission) for the determination of the elemental mass concentration and to obtain the Mass Median Aerodynamic Diameter (MMAD). The results showed significant correlation between the concentration of atmospheric aerosol and the freshly deposited particles in the snow, and permitted an estimate of the atmospheric snow deposition factor for K, Cu, Zn, Fe, Pb, and Ti. Results of long-term aerosol data compilation suggest that besides the local aerosol sources, the continental atmospheric transport of airborne particles is not significantly affected by the airborne particles produced by local human impacts at King George Island.</t>
  </si>
  <si>
    <t>[Medeiros, Geiza; da Cunha, K. Dias] CNEN, IRD, BR-22780160 Rio De Janeiro, RJ, Brazil; [Leal, M. A.; Joppert, M.] IME, BR-22290270 Rio De Janeiro, RJ, Brazil; [Licinio, M. V.; Evangelista, H.] Univ Estado Rio De Janeiro, DBB, LARAMG, BR-20550013 Rio De Janeiro, RJ, Brazil; [Maldonado, J.] Univ Fed Fluminense, BR-24020007 Niteroi, RJ, Brazil; [Dalia, K. C.] Univ Fed Rio de Janeiro, CCS, Ilha Fundao, BR-21949900 Rio De Janeiro, RJ, Brazil; [Lima, C.; Leite, C. V. Barros] Pontificia Univ Catolica Rio de Janeiro, BR-22451041 Rio De Janeiro, RJ, Brazil; [Correa, S. M.] Univ Estado Rio de Janeiro, Fac Technol, Resende, RJ, Brazil</t>
  </si>
  <si>
    <t>Comissao Nacional de Energia Nuclear (CNEN); Instituto de Radioprotecao e Dosimetria; Universidade do Estado do Rio de Janeiro; Universidade Federal Fluminense; Universidade Federal do Rio de Janeiro; Pontificia Universidade Catolica do Rio de Janeiro; Universidade do Estado do Rio de Janeiro</t>
  </si>
  <si>
    <t>da Cunha, KD (corresponding author), CNEN, IRD, Av Salvador Allende S-N, BR-22780160 Rio De Janeiro, RJ, Brazil.</t>
  </si>
  <si>
    <t>kenya@ird.gov.br</t>
  </si>
  <si>
    <t>Evangelista, Heitor/C-7561-2013; Leite, Carlos/Q-6712-2018; Licínio, Marcus VVJ/G-6317-2012; Correa, Sergio Machado/AAB-4657-2021</t>
  </si>
  <si>
    <t>Leite, Carlos/0000-0003-3569-9141; Correa, Sergio Machado/0000-0002-0038-0790; Licinio, Marcus Vinicius/0000-0003-3589-5652</t>
  </si>
  <si>
    <t>SPRINGER INTERNATIONAL PUBLISHING AG</t>
  </si>
  <si>
    <t>CHAM</t>
  </si>
  <si>
    <t>GEWERBESTRASSE 11, CHAM, CH-6330, SWITZERLAND</t>
  </si>
  <si>
    <t>0049-6979</t>
  </si>
  <si>
    <t>1573-2932</t>
  </si>
  <si>
    <t>WATER AIR SOIL POLL</t>
  </si>
  <si>
    <t>Water Air Soil Pollut.</t>
  </si>
  <si>
    <t>1-4</t>
  </si>
  <si>
    <t>10.1007/s11270-007-9525-7</t>
  </si>
  <si>
    <t>Environmental Sciences; Meteorology &amp; Atmospheric Sciences; Water Resources</t>
  </si>
  <si>
    <t>Environmental Sciences &amp; Ecology; Meteorology &amp; Atmospheric Sciences; Water Resources</t>
  </si>
  <si>
    <t>252WD</t>
  </si>
  <si>
    <t>WOS:000252476700006</t>
  </si>
  <si>
    <t>Pearce, I; Davidson, AT; Wright, S; van den Enden, R</t>
  </si>
  <si>
    <t>Pearce, Imojen; Davidson, Andrew T.; Wright, Simon; van den Enden, Rick</t>
  </si>
  <si>
    <t>Seasonal changes in phytoplankton growth and microzooplankton grazing at an Antarctic coastal site</t>
  </si>
  <si>
    <t>AQUATIC MICROBIAL ECOLOGY</t>
  </si>
  <si>
    <t>Antarctic; microzooplankton; grazing; phytoplankton growth</t>
  </si>
  <si>
    <t>DISSOLVED ORGANIC-CARBON; SOUTHERN-OCEAN; HETEROTROPHIC PROTISTS; MARINE-PHYTOPLANKTON; COMMUNITY STRUCTURE; BIOGENIC CARBON; CELL-DEATH; FOOD WEBS; ROSS SEA; SUMMER</t>
  </si>
  <si>
    <t>Despite being a major pathway for carbon flow in aquatic systems, little is known about annual changes in microzooplankton grazing in Antarctic waters and its top-down control of phytoplankton. We determined changes in the growth and mortality of phytoplankton in near-shore waters off East Antarctica between February and November 2004 using the grazing dilution technique. Results showed large seasonal variation in the microzooplankton grazing rate and top-down control of phytoplankton. In late summer (February to March), microzooplankton consumed around 34% of primary production and 33% of the phytoplankton standing stock d(-1). As sea ice formed in early April, grazing mortality increased to 762% of primary production and 72% of the phytoplankton standing stock d(-1), coinciding with a rapid decline in phytoplankton biomass, cell volume and chlorophyll a concentration. In winter (late April to September), phytoplankton abundance and productivity were insufficient to sustain extensive herbivory; only 5 of the 12 winter experiments yielded microzooplankton grazing rates that were significantly different from zero. The few significant experiments showed that microheterotrophs occasionally consumed ca. 54% of the phytoplankton standing stock and &gt; 100 % primary production d(-1). In spring (October to November), rates of microzooplankton grazing and phytoplankton growth were highly significant but negative. Our study showed that microzooplankton contributed substantially to the termination of the summer phytoplankton bloom. Thereafter, microzooplankton grazing, though occasionally substantial, was commonly low or insignificant. Furthermore, during the aphotic Antarctic winter, negative rates of phytoplankton growth commonly exceeded those of microzooplankton grazing, suggesting that herbivory was not the principal cause of phytoplankton mortality.</t>
  </si>
  <si>
    <t>[Pearce, Imojen; Davidson, Andrew T.; Wright, Simon; van den Enden, Rick] Australian Govt Antarctic Div &amp; Antarctic Climate, Kingston, Tas 7050, Australia; [Pearce, Imojen; Davidson, Andrew T.; Wright, Simon; van den Enden, Rick] Ecosyst Cooperat Res Ctr, Kingston, Tas 7050, Australia</t>
  </si>
  <si>
    <t>Australian Antarctic Division</t>
  </si>
  <si>
    <t>Davidson, AT (corresponding author), Australian Govt Antarctic Div &amp; Antarctic Climate, Channel Highway, Kingston, Tas 7050, Australia.</t>
  </si>
  <si>
    <t>andrew.davidson@aad.gov.au</t>
  </si>
  <si>
    <t>INTER-RESEARCH</t>
  </si>
  <si>
    <t>OLDENDORF LUHE</t>
  </si>
  <si>
    <t>NORDBUNTE 23, D-21385 OLDENDORF LUHE, GERMANY</t>
  </si>
  <si>
    <t>0948-3055</t>
  </si>
  <si>
    <t>1616-1564</t>
  </si>
  <si>
    <t>AQUAT MICROB ECOL</t>
  </si>
  <si>
    <t>Aquat. Microb. Ecol.</t>
  </si>
  <si>
    <t>JAN 31</t>
  </si>
  <si>
    <t>10.3354/ame01149</t>
  </si>
  <si>
    <t>Ecology; Marine &amp; Freshwater Biology; Microbiology</t>
  </si>
  <si>
    <t>Environmental Sciences &amp; Ecology; Marine &amp; Freshwater Biology; Microbiology</t>
  </si>
  <si>
    <t>266PP</t>
  </si>
  <si>
    <t>Bronze</t>
  </si>
  <si>
    <t>WOS:000253448900006</t>
  </si>
  <si>
    <t>Das, SB; Alley, RB</t>
  </si>
  <si>
    <t>Das, Sarah B.; Alley, Richard B.</t>
  </si>
  <si>
    <t>Rise in frequency of surface melting at Siple Dome through the Holocene: Evidence for increasing marine influence on the climate of West Antarctica</t>
  </si>
  <si>
    <t>JOURNAL OF GEOPHYSICAL RESEARCH-ATMOSPHERES</t>
  </si>
  <si>
    <t>ICE-CORE; SEA-ICE; SOUTHERN-OSCILLATION; ROSS EMBAYMENT; ENSO SIGNAL; TEMPERATURE; VARIABILITY; SHEET; GREENLAND; THICKNESS</t>
  </si>
  <si>
    <t>A new melt layer history from Siple Dome, West Antarctica, indicates notable late-Holocene summertime warming. Visual stratigraphic analyses of the 1004-m ice core identified 62 years with melt layers. Melting events began around 11.7 ka, followed by a period of no melting from 8.8-6.6 ka. Melt layer frequency increased from 6.6 ka to the present, with the 1000-year-average melt layer frequency reaching a maximum of 2% at 0.8 ka. We use our millennial-scale archive of melt events as a unique seasonal paleothermometer to elucidate changes in West Antarctic Holocene summer climate. Our calibration suggests the change in melt frequency from 0% to 2% may represent a summer temperature increase of &gt;= 2 degrees C from the middle to late Holocene. This temperature change cannot be explained entirely by local change in ice elevation or summer insolation and is in contrast to East Antarctic climate records, which show peak warmth in the early Holocene followed by stable or decreasing temperature. We interpret the rise in melt frequency as evidence of an increasing marine influence on the Ross Sea sector of West Antarctica. Although the surface elevation of Siple Dome has not changed greatly, the continued lateral retreat of the West Antarctic ice sheet from its Last Glacial Maximum configuration ( across the outer continental shelf), and the delayed drawdown in ice thickness from the adjacent coastal Marie Byrd Land region, in conjunction with periods of increased cyclogenesis, perhaps related to variations in ENSO, would allow a moderated maritime climate to more easily reach West Antarctica.</t>
  </si>
  <si>
    <t>[Das, Sarah B.] Woods Hole Oceanog Inst, Dept Geol &amp; Geophys, Woods Hole, MA 02543 USA; [Alley, Richard B.] Penn State Univ, Dept Geosci, University Pk, PA 16802 USA; [Alley, Richard B.] Penn State Univ, Inst Environm, University Pk, PA 16802 USA</t>
  </si>
  <si>
    <t>Woods Hole Oceanographic Institution;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</si>
  <si>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Das, SB (corresponding author), Woods Hole Oceanog Inst, Dept Geol &amp; Geophys, Woods Hole, MA 02543 USA.</t>
  </si>
  <si>
    <t>sdas@whoi.edu</t>
  </si>
  <si>
    <t>Directorate For Geosciences; Office of Polar Programs (OPP) [0917509] Funding Source: National Science Foundation</t>
  </si>
  <si>
    <t>Directorate For Geosciences; Office of Polar Programs (OPP)(National Science Foundation (NSF)NSF - Directorate for Geosciences (GEO))</t>
  </si>
  <si>
    <t>AMER GEOPHYSICAL UNION</t>
  </si>
  <si>
    <t>WASHINGTON</t>
  </si>
  <si>
    <t>2000 FLORIDA AVE NW, WASHINGTON, DC 20009 USA</t>
  </si>
  <si>
    <t>2169-897X</t>
  </si>
  <si>
    <t>2169-8996</t>
  </si>
  <si>
    <t>J GEOPHYS RES-ATMOS</t>
  </si>
  <si>
    <t>J. Geophys. Res.-Atmos.</t>
  </si>
  <si>
    <t>JAN 29</t>
  </si>
  <si>
    <t>D2</t>
  </si>
  <si>
    <t>D02112</t>
  </si>
  <si>
    <t>10.1029/2007JD008790</t>
  </si>
  <si>
    <t>Meteorology &amp; Atmospheric Sciences</t>
  </si>
  <si>
    <t>257US</t>
  </si>
  <si>
    <t>Green Submitted, Green Published</t>
  </si>
  <si>
    <t>WOS:000252824800001</t>
  </si>
  <si>
    <t>De Pittà, C; Bertolucci, C; Mazzotta, GM; Bernante, F; Rizzo, G; De Nardi, B; Pallavicini, A; Lanfranchi, G; Costa, R</t>
  </si>
  <si>
    <t>De Pitta, Cristiano; Bertolucci, Cristiano; Mazzotta, Gabriella M.; Bernante, Filippo; Rizzo, Giorgia; De Nardi, Barbara; Pallavicini, Alberto; Lanfranchi, Gerolamo; Costa, Rodolfo</t>
  </si>
  <si>
    <t>Systematic sequencing of mRNA from the Antarctic krill (Euphausia superba) and first tissue specific transcriptional signature</t>
  </si>
  <si>
    <t>BMC GENOMICS</t>
  </si>
  <si>
    <t>MITOCHONDRIAL-DNA SEQUENCE; CATFISH ICTALURUS-PUNCTATUS; NUCLEOTIDE-SEQUENCE; HISTONE GENES; PHYLOGENETIC POSITION; JAPONICUS CRUSTACEA; DECAPOD CRUSTACEANS; GENOME; ORGANIZATION; EVOLUTION</t>
  </si>
  <si>
    <t>Background: Little is known about the genome sequences of Euphausiacea (krill) although these crustaceans are abundant components of the pelagic ecosystems in all oceans and used for aquaculture and pharmaceutical industry. This study reports the results of an expressed sequence tag (EST) sequencing project from different tissues of Euphausia superba (the Antarctic krill). Results: We have constructed and sequenced five cDNA libraries from different Antarctic krill tissues: head, abdomen, thoracopods and photophores. We have identified 1.770 high-quality ESTs which were assembled into 216 overlapping clusters and 801 singletons resulting in a total of 1.017 non-redundant sequences. Quantitative RT-PCR analysis was performed to quantify and validate the expression levels of ten genes presenting different EST countings in krill tissues. In addition, bioinformatic screening of the non-redundant E. superba sequences identified 69 microsatellite containing ESTs. Clusters, consensuses and related similarity and gene ontology searches were organized in a dedicated E. superba database http://krill.cribi.unipd.it. Conclusion: We defined the first tissue transcriptional signatures of E. superba based on functional categorization among the examined tissues. The analyses of annotated transcripts showed a higher similarity with genes from insects with respect to Malacostraca possibly as an effect of the limited number of Malacostraca sequences in the public databases. Our catalogue provides for the first time a genomic tool to investigate the biology of the Antarctic krill.</t>
  </si>
  <si>
    <t>[De Pitta, Cristiano; Mazzotta, Gabriella M.; Rizzo, Giorgia; Lanfranchi, Gerolamo; Costa, Rodolfo] Univ Padua, Dipartimento Biol, I-35121 Padua, Italy; [De Pitta, Cristiano; Bernante, Filippo; Lanfranchi, Gerolamo] Univ Padua, CRIBI Biotechnol Ctr, I-35121 Padua, Italy; [Bertolucci, Cristiano] Univ Ferrara, Dipartimento Biol &amp; Evoluz, I-44100 Ferrara, Italy; [De Nardi, Barbara; Pallavicini, Alberto] Univ Trieste, Dipartimento Biol, I-34148 Trieste, Italy</t>
  </si>
  <si>
    <t>University of Padua; University of Padua; University of Ferrara; University of Trieste</t>
  </si>
  <si>
    <t>Costa, R (corresponding author), Univ Padua, Dipartimento Biol, Via U Bassi 58-B, I-35121 Padua, Italy.</t>
  </si>
  <si>
    <t>cristiano.depitta@unipd.it; bru@unife.it; gabriella.mazzotta@unipd.it; fbernante@cribi.unipd.it; giorgia.rizzo@unipd.it; barbara.denardi@entecra.it; pallavic@units.it; lanfra@cribi.unipd.it; costa@mail.bio.unipd.it</t>
  </si>
  <si>
    <t>De Pitta, Cristiano/AAY-7302-2020; Pallavicini, Alberto/H-9281-2019; Bertolucci, Cristiano/H-1916-2015</t>
  </si>
  <si>
    <t>De Pitta, Cristiano/0000-0001-8013-8162; Pallavicini, Alberto/0000-0001-7174-4603; Bertolucci, Cristiano/0000-0003-0252-3107; MAZZOTTA, GABRIELLA MARGHERITA/0000-0001-5461-6837</t>
  </si>
  <si>
    <t>BMC</t>
  </si>
  <si>
    <t>CAMPUS, 4 CRINAN ST, LONDON N1 9XW, ENGLAND</t>
  </si>
  <si>
    <t>1471-2164</t>
  </si>
  <si>
    <t>BMC Genomics</t>
  </si>
  <si>
    <t>JAN 28</t>
  </si>
  <si>
    <t>10.1186/1471-2164-9-45</t>
  </si>
  <si>
    <t>Biotechnology &amp; Applied Microbiology; Genetics &amp; Heredity</t>
  </si>
  <si>
    <t>278KM</t>
  </si>
  <si>
    <t>Green Published, gold</t>
  </si>
  <si>
    <t>WOS:000254284400001</t>
  </si>
  <si>
    <t>Lubin, D; Wittenmyer, RA; Bromwich, DH; Marshall, GJ</t>
  </si>
  <si>
    <t>Lubin, Dan; Wittenmyer, Robert A.; Bromwich, David H.; Marshall, Gareth J.</t>
  </si>
  <si>
    <t>Antarctic Peninsula mesoscale cyclone variability and climatic impacts influenced by the SAM</t>
  </si>
  <si>
    <t>GEOPHYSICAL RESEARCH LETTERS</t>
  </si>
  <si>
    <t>HEMISPHERE ANNULAR MODE; TEMPERATURES; TRENDS</t>
  </si>
  <si>
    <t>The frequency of mesoscale cyclones in the Western Antarctic Peninsula (WAP) region during 1991-94 is correlated with the Southern Hemisphere Annular Mode (SAM) index, most strongly during winter and spring. Also, during periods of positive SAM index polarity there is a shift in the storm tracks to favor more east-bound trajectories, consistent with strengthening of circumpolar westerlies. The presence of mesoscale cyclones is associated with positive near-surface-air temperature anomalies in the WAP region year-round, largest during winter.</t>
  </si>
  <si>
    <t>[Lubin, Dan] Univ Calif San Diego, Scripps Inst Oceanog, La Jolla, CA 92093 USA; [Marshall, Gareth J.] British Antarctic Survey, Cambridge CB3 0ET, England; [Bromwich, David H.] Ohio State Univ, Byrd Polar Res Ctr, Columbus, OH 43210 USA; [Wittenmyer, Robert A.] Univ Texas Austin, Dept Astron, Austin, TX 78712 USA</t>
  </si>
  <si>
    <t>University of California System; University of California San Diego; Scripps Institution of Oceanography; UK Research &amp; Innovation (UKRI); Natural Environment Research Council (NERC); NERC British Antarctic Survey; University System of Ohio; Ohio State University; University of Texas System; University of Texas Austin</t>
  </si>
  <si>
    <t>Lubin, D (corresponding author), Univ Calif San Diego, Scripps Inst Oceanog, La Jolla, CA 92093 USA.</t>
  </si>
  <si>
    <t>dlubin@ucsd.edu</t>
  </si>
  <si>
    <t>Bromwich, David H/C-9225-2016</t>
  </si>
  <si>
    <t>Natural Environment Research Council [bas010014] Funding Source: researchfish; NERC [bas010014] Funding Source: UKRI</t>
  </si>
  <si>
    <t>Natural Environment Research Council(UK Research &amp; Innovation (UKRI)Natural Environment Research Council (NERC)); NERC(UK Research &amp; Innovation (UKRI)Natural Environment Research Council (NERC))</t>
  </si>
  <si>
    <t>0094-8276</t>
  </si>
  <si>
    <t>GEOPHYS RES LETT</t>
  </si>
  <si>
    <t>Geophys. Res. Lett.</t>
  </si>
  <si>
    <t>JAN 25</t>
  </si>
  <si>
    <t>L02808</t>
  </si>
  <si>
    <t>10.1029/2007GL032170</t>
  </si>
  <si>
    <t>256TC</t>
  </si>
  <si>
    <t>Green Accepted</t>
  </si>
  <si>
    <t>WOS:000252751800004</t>
  </si>
  <si>
    <t>Townsend, AT; Snape, I</t>
  </si>
  <si>
    <t>Townsend, A. T.; Snape, I.</t>
  </si>
  <si>
    <t>Multiple pb sources in marine sediments near the Australian Antarctic Station, Casey</t>
  </si>
  <si>
    <t>SCIENCE OF THE TOTAL ENVIRONMENT</t>
  </si>
  <si>
    <t>Casey Station; Wilkes Station; Antarctica; Pb isotope ratios; magnetic sector ICP-MS</t>
  </si>
  <si>
    <t>LEAD-ISOTOPE RATIOS; METAL CONTAMINATION; ICP-MS; POLLUTION; SOILS; IDENTIFICATION; IMPACTS; HISTORY; ORIGIN; BRANDS</t>
  </si>
  <si>
    <t>An extensive Pb isotope ratio survey of similar to 100 marine sediment samples from near Casey Station, East Antarctica has been undertaken. Sediment surface grabs and cores were collected over nine years between 1997-2006 and, following HF total digestion, were analysed by magnetic sector ICP-MS. Fifty-two reference samples ([Pb] range 5-26 mg kg(-1)) from 6 non-impacted locations displayed a broad range of Pb isotope ratios representative of the natural background geology of the region (Pb-208/Pb-204 ratios of 37.5-40; Pb-206/Pb-204 ratios of 17-19). Potentially impacted sediments from Brown Bay (n=27, [Pb] range 18-215 mg kg-1), adjacent to the current and former Australian Stations at Casey (and the associated Thala Valley tip site) showed contamination by Pb characteristic of Broken Hill and Mt Isa Australian deposits (Pb-208/Pb-204 and Pb-206/Pb-204 values of 35.5-36 and 16.0-16.1, respectively). The nearby abandoned Wilkes Station was previously manned by both US (1957-59) and Australian (1959-69) expeditioners. Adjacentmarine sediment samples (n=24, [Pb] range 1340 mg kg(-1)) displayed Pb isotopic signatures suggesting anthropogenic input from multiple sources. on a three-isotope diagram Wilkes sediments were found to display Pb ratios lying intermediate between Missouri (US), Broken Hill/Mt Isa (Australia)/Idaho (US), and natural geogenic Pb end members. Discarded Pb batteries, paint samples and fuel spills were all considered in this work as possible point sources of Pb contamination to the local environment. Batteries are thought to be the dominant source. Crown Copyright (C) 2007 Published by Elsevier B.V. All rights reserved.</t>
  </si>
  <si>
    <t>[Townsend, A. T.] Univ Tasmania, Cent Sci Lab, Hobart, Tas 7001, Australia; [Snape, I.] Australian Antarctic Div, Environm Protect &amp; Change Program, Kingston, Tas 7050, Australia</t>
  </si>
  <si>
    <t>University of Tasmania; Australian Antarctic Division</t>
  </si>
  <si>
    <t>Townsend, AT (corresponding author), Univ Tasmania, Cent Sci Lab, Private Bag 74, Hobart, Tas 7001, Australia.</t>
  </si>
  <si>
    <t>Ashley.Townsend@utas.edu.au</t>
  </si>
  <si>
    <t>Townsend, Ashley/J-7445-2014</t>
  </si>
  <si>
    <t>Townsend, Ashley/0000-0002-2972-2678</t>
  </si>
  <si>
    <t>ELSEVIER</t>
  </si>
  <si>
    <t>AMSTERDAM</t>
  </si>
  <si>
    <t>RADARWEG 29, 1043 NX AMSTERDAM, NETHERLANDS</t>
  </si>
  <si>
    <t>0048-9697</t>
  </si>
  <si>
    <t>1879-1026</t>
  </si>
  <si>
    <t>SCI TOTAL ENVIRON</t>
  </si>
  <si>
    <t>Sci. Total Environ.</t>
  </si>
  <si>
    <t>2-3</t>
  </si>
  <si>
    <t>10.1016/j.scitotenv.2007.09.022</t>
  </si>
  <si>
    <t>Environmental Sciences</t>
  </si>
  <si>
    <t>Environmental Sciences &amp; Ecology</t>
  </si>
  <si>
    <t>243WB</t>
  </si>
  <si>
    <t>WOS:000251826900026</t>
  </si>
  <si>
    <t>Reid, T; Crout, N</t>
  </si>
  <si>
    <t>Reid, Tim; Crout, Neil</t>
  </si>
  <si>
    <t>A thermodynamic model of freshwater Antarctic lake ice</t>
  </si>
  <si>
    <t>ECOLOGICAL MODELLING</t>
  </si>
  <si>
    <t>ice; Antarctic; freshwater; lake; model; Vestfold hills</t>
  </si>
  <si>
    <t>SEA-ICE; TEMPERATURE; SIMULATION; RADIATION; THICKNESS; PLANKTON; BACTERIOPLANKTON; DYNAMICS; PATTERNS; SURFACES</t>
  </si>
  <si>
    <t>Antarctic lakes with simple plankton ecosystems are believed to be sensitive biological indicators of climate change. Models of the physical environment, in particular the ice layer, support understanding of how the ecosystems respond to meteorological variables. This paper describes how data from a previously reported automatic measuring probe and meteorological data from Davis station were used to develop a detailed thermodynamic model of the ice layer on Crooked Lake, one of the largest and deepest freshwater lakes in Antarctica. The general model structure is similar to a previously reported model of sea ice but with modifications specific to the Antarctic freshwater lake case informed by the data. The model inputs are atmospheric variables as well as water temperature, ice albedo and the radiation extinction coefficient for the ice. Heat and radiation fluxes at the ice-air and ice-water boundaries are calculated using equations chosen for their suitability for the Antarctic. In the case of shortwave radiation, equations were fitted to data from the automatic probe. Using the heat fluxes to establish boundary conditions, and incorporating the known thermodynamic properties of ice, the temperature profile within the ice and the resulting growth and melt of the ice can be calculated. The model uses a largely mechanistic approach, with most equations taken from established thermodynamic theories or empirical studies and only one adjustable parameter related to the sensible heat flux from the water, which is not easily calculated from the available data. It was found to accurately reproduce ice temperature and ice thickness data for the year 2003, with r(2) = 0.89, n = 2005. Finally, the model was simplified to run with air temperature as the only input variable and was shown to perform well-this suggests that freshwater lake ice is affected more by air temperature than any other variable, and is therefore a useful indicator of climate change in its own right. (C) 2007 Elsevier B.V. All rights reserved.</t>
  </si>
  <si>
    <t>[Reid, Tim; Crout, Neil] Univ Nottingham, Div Environm Sci, Sch Biosci, Nottingham NG7 2RD, England</t>
  </si>
  <si>
    <t>University of Nottingham</t>
  </si>
  <si>
    <t>Reid, T (corresponding author), Univ Nottingham, Div Environm Sci, Sch Biosci, Univ Pk, Nottingham NG7 2RD, England.</t>
  </si>
  <si>
    <t>timdreid@gmail.com</t>
  </si>
  <si>
    <t>Crout, Neil MJ/A-1369-2011</t>
  </si>
  <si>
    <t>Crout, Neil/0000-0001-7394-5070</t>
  </si>
  <si>
    <t>0304-3800</t>
  </si>
  <si>
    <t>1872-7026</t>
  </si>
  <si>
    <t>ECOL MODEL</t>
  </si>
  <si>
    <t>Ecol. Model.</t>
  </si>
  <si>
    <t>JAN 24</t>
  </si>
  <si>
    <t>10.1016/j.ecolmodel.2007.07.029</t>
  </si>
  <si>
    <t>Ecology</t>
  </si>
  <si>
    <t>255JR</t>
  </si>
  <si>
    <t>WOS:000252654800002</t>
  </si>
  <si>
    <t>Landais, A; Barkan, E; Luz, B</t>
  </si>
  <si>
    <t>Landais, Amaelle; Barkan, Eugeni; Luz, Boaz</t>
  </si>
  <si>
    <t>Record of δ18O and 17O-excess in ice from Vostok Antarctica during the last 150,000 years</t>
  </si>
  <si>
    <t>HIGH-PRECISION MEASUREMENTS; ISOTOPIC COMPOSITION; SOUTHERN-HEMISPHERE; DEUTERIUM EXCESS; WATER-VAPOR; PRECIPITATION; O-18; TEMPERATURE; O-18/O-16; O-17/O-16</t>
  </si>
  <si>
    <t>We measured delta O-17 and delta O-18 in recent Antarctic snow and down the Vostok ice core and calculated the excess of O-17 with respect to VSMOW. The magnitude of the O-17 excess in the Holocene and the last interglacial is similar to 45 per meg, and it remains constant in a transect from the coast to the continental interior. Analysis of the transect data shows that the O-17-excess is not sensitive to temperature variations over the continent. There are significant shifts in O-17-excess from low values in glacial to high values in interglacial times. The observed shifts suggest higher normalized relative humidity and/or wind speeds over the source oceanic regions in glacial times.</t>
  </si>
  <si>
    <t>[Landais, Amaelle; Barkan, Eugeni; Luz, Boaz] Hebrew Univ Jerusalem, Inst Earth Sci, IL-91904 Jerusalem, Israel; [Landais, Amaelle] Inst Pierre Simon Laplace, Lab Sci Climate &amp; Environm, Gif Sur Yvette, France</t>
  </si>
  <si>
    <t>Hebrew University of Jerusalem; Universite Paris Cite; CEA; Centre National de la Recherche Scientifique (CNRS); Universite Paris Saclay</t>
  </si>
  <si>
    <t>Landais, A (corresponding author), Hebrew Univ Jerusalem, Inst Earth Sci, IL-91904 Jerusalem, Israel.</t>
  </si>
  <si>
    <t>amaelle.landais@lsce.ipsl.fr</t>
  </si>
  <si>
    <t>LANDAIS, Amaelle/0000-0002-5620-5465</t>
  </si>
  <si>
    <t>L02709</t>
  </si>
  <si>
    <t>10.1029/2007GL032096</t>
  </si>
  <si>
    <t>256TB</t>
  </si>
  <si>
    <t>Green Published, Bronze</t>
  </si>
  <si>
    <t>WOS:000252751700003</t>
  </si>
  <si>
    <t>Qu, TD; Gao, S; Fukumori, I; Fine, RA; Lindstrom, EJ</t>
  </si>
  <si>
    <t>Qu, Tangdong; Gao, Shan; Fukumori, Ichiro; Fine, Rana A.; Lindstrom, Eric J.</t>
  </si>
  <si>
    <t>Subduction of South Pacific waters</t>
  </si>
  <si>
    <t>ANTARCTIC INTERMEDIATE WATER; NORTH-PACIFIC; MODE WATERS; ORIGIN; CIRCULATION; VENTILATION</t>
  </si>
  <si>
    <t>Using existing high-resolution CTD observations, complemented by a large amount of recently available Argo floating data, this study provides a detailed description of the subduction of South Pacific waters. With a significantly improved climatological dataset on the mixed layer properties, we obtain an annual subduction rate of 48.8 Sv (1 Sv = 10(6) m(3) s(-1)) from 10 degrees S to 60 degrees S in the South Pacific. Two peaks stand out in this subduction rate sorted by winter mixed layer density: one corresponds to the formation of eastern Subtropical Mode Water (STMW) and part of the Subtropical Underwater (SUW) between 25.0 and 25.5 sigma(theta), and the other has a density range between 26.6 and 27.1 sigma(theta), representing the formation of Sub-Antarctic Mode Water and Antarctic Intermediate Water (SAMW/AAIW). The subduction in eastern STMW/SUW range is 12.7 Sv, only slightly smaller than that (14.6 Sv) associated with the SAMW/AAIW. Sandwiched between these two peaks, roughly in the density range between 26.0 and 26.5 sigma(theta), is the southwestern STMW, with a relatively small annual subduction of 5.6 Sv. Uncertainties of these estimates are discussed.</t>
  </si>
  <si>
    <t>[Qu, Tangdong; Gao, Shan] Univ Hawaii Manoa, Int Pacific Res Ctr, SOEST, Honolulu, HI 96822 USA; [Fukumori, Ichiro] CALTECH, Jet Prop Lab, Pasadena, CA 91109 USA; [Fine, Rana A.] Univ Miami, Rosenstiel Sch Marine &amp; Atmospher Sci, Miami, FL 33149 USA; [Lindstrom, Eric J.] NASA, Sci Mission Directorate, Washington, DC 20546 USA</t>
  </si>
  <si>
    <t>University of Hawaii System; University of Hawaii Manoa; California Institute of Technology; National Aeronautics &amp; Space Administration (NASA); NASA Jet Propulsion Laboratory (JPL); University of Miami; National Aeronautics &amp; Space Administration (NASA)</t>
  </si>
  <si>
    <t>Qu, TD (corresponding author), Univ Hawaii Manoa, Int Pacific Res Ctr, SOEST, 1680 East West Rd, Honolulu, HI 96822 USA.</t>
  </si>
  <si>
    <t>tangdong@hawaii.edu</t>
  </si>
  <si>
    <t>Fukumori, Ichiro/AAY-9005-2020; gao, shan/H-7959-2013</t>
  </si>
  <si>
    <t>Fukumori, Ichiro/0000-0002-0882-6400; gao, shan/0000-0003-4510-5028; Lindstrom, Eric/0000-0002-4393-2276</t>
  </si>
  <si>
    <t>1944-8007</t>
  </si>
  <si>
    <t>L02610</t>
  </si>
  <si>
    <t>10.1029/2007GL032605</t>
  </si>
  <si>
    <t>WOS:000252751700008</t>
  </si>
  <si>
    <t>Engebretson, MJ; Lessard, MR; Bortnik, J; Green, JC; Horne, RB; Detrick, DL; Weatherwax, AT; Manninen, J; Petit, NJ; Posch, JL; Rose, MC</t>
  </si>
  <si>
    <t>Engebretson, M. J.; Lessard, M. R.; Bortnik, J.; Green, J. C.; Horne, R. B.; Detrick, D. L.; Weatherwax, A. T.; Manninen, J.; Petit, N. J.; Posch, J. L.; Rose, M. C.</t>
  </si>
  <si>
    <t>Pc1-Pc2 waves and energetic particle precipitation during and after magnetic storms: Superposed epoch analysis and case studies</t>
  </si>
  <si>
    <t>JOURNAL OF GEOPHYSICAL RESEARCH-SPACE PHYSICS</t>
  </si>
  <si>
    <t>ION-CYCLOTRON WAVES; PITCH-ANGLE SCATTERING; PC 1 MICROPULSATIONS; RING CURRENT; HYDROMAGNETIC-WAVES; GEOMAGNETIC STORMS; DUCT PROPAGATION; EMIC WAVES; EQUATORIAL MAGNETOSPHERE; PROTON PRECIPITATION</t>
  </si>
  <si>
    <t>Magnetic pulsations in the Pc1-Pc2 frequency range (0.1-5 Hz) are often observed on the ground and in the Earth's magnetosphere during the aftermath of geomagnetic storms. Numerous studies have suggested that they may play a role in reducing the fluxes of energetic ions in the ring current; more recent studies suggest they may interact parasitically with radiation belt electrons as well. We report here on observations during 2005 from search coil magnetometers and riometers installed at three Antarctic stations, Halley (-61.84 degrees magnetic latitude, MLAT), South Pole (-74.18 degrees MLAT), and McMurdo (-79.96 degrees MLAT), and from energetic ion detectors on the NOAA Polar-orbiting Operational Environment Satellites (POES). A superposed epoch analysis based on 13 magnetic storms between April and September 2005 as well as case studies confirm several earlier studies that show that narrowband Pc1-Pc2 waves are rarely if ever observed on the ground during the main and early recovery phases of magnetic storms. However, intense broadband Pi1-Pi2 ULF noise, accompanied by strong riometer absorption signatures, does occur during these times. As storm recovery progresses, the occurrence of Pc1-Pc2 waves increases, at first in the daytime and especially afternoon sectors but at essentially all local times later in the recovery phase (typically by days 3 or 4). During the early storm recovery phase the propagation of Pc1-Pc2 waves through the ionospheric waveguide to higher latitudes was more severely attenuated. These observations are consistent with suggestions that Pc1-Pc2 waves occurring during the early recovery phase of magnetic storms are generated in association with plasmaspheric plumes in the noon-to-dusk sector, and these observations provide additional evidence that the propagation of waves to ground stations is inhibited during the early phases of such storms. Analysis of 30- to 250-keV proton data from four POES satellites during the 24-27 August and 18-19 July 2005 storm intervals showed that the location of the inner edge of the ring current matched well with the plasmapause model of O'Brien and Moldwin (2003). However, the POES data showed no evidence of the consequences of electromagnetic ion cyclotron waves (localized proton precipitation) during main and early recovery phase. During later stages of the recovery phase, when such precipitation was observed, it was coincident with intense wave events at Halley, and it occurred at L shells near or up to 1 RE outside the modeled plasmapause but well equatorward of the isotropy boundary.</t>
  </si>
  <si>
    <t>[Engebretson, M. J.; Posch, J. L.] Augsburg Coll, Dept Phys, Minneapolis, MN 55454 USA; [Lessard, M. R.] Univ New Hampshire, Ctr Space Sci, Durham, NH 03824 USA; [Lessard, M. R.] Univ New Hampshire, Dept Phys, Durham, NH 03824 USA; [Bortnik, J.] Univ Calif Los Angeles, Dept Atmospher &amp; Ocean Sci, Los Angeles, CA 90095 USA; [Green, J. C.] NOAA, Space Environm Ctr, Colorado Springs, CO 80305 USA; [Horne, R. B.; Rose, M. C.] British Antarctic Survey, Cambridge CB3 0ET, England; [Detrick, D. L.] Univ Maryland, Inst Phys Sci &amp; Technol, College Pk, MD 20742 USA; [Weatherwax, A. T.] Siena Coll, Dept Phys, Loudonville 12211, NY USA; [Manninen, J.] Sodankyla Geophys Observ, FIN-99600 Sodankyla, Finland; [Petit, N. J.] Augsburg Coll, Dept Comp Sci, Minneapolis, MN 55454 USA</t>
  </si>
  <si>
    <t>Augsburg University; University System Of New Hampshire; University of New Hampshire; University System Of New Hampshire; University of New Hampshire; University of California System; University of California Los Angeles; National Oceanic Atmospheric Admin (NOAA) - USA; UK Research &amp; Innovation (UKRI); Natural Environment Research Council (NERC); NERC British Antarctic Survey; University System of Maryland; University of Maryland College Park; Augsburg University</t>
  </si>
  <si>
    <t>Engebretson, MJ (corresponding author), Augsburg Coll, Dept Phys, Minneapolis, MN 55454 USA.</t>
  </si>
  <si>
    <t>engebret@augsburg.edu; marc.lessard@unh.edu; jbortnik@gmail.com; janet.green@noaa.gov; rh@bas.ac.uk; detrick@umd.edu; aweatherwax@siena.edu; jyrki.manninen@sgo.fi; petit@augsburg.edu; posch@augsburg.edu; mcr@bas.ac.uk</t>
  </si>
  <si>
    <t>Manninen, Jyrki/I-4004-2019; Horne, Richard B/U-3764-2019</t>
  </si>
  <si>
    <t>Manninen, Jyrki/0000-0003-2866-4231; Horne, Richard B/0000-0002-0412-6407; Weatherwax, Allan/0000-0003-4732-358X</t>
  </si>
  <si>
    <t>Directorate For Geosciences; Office of Polar Programs (OPP) [0638587] Funding Source: National Science Foundation; NERC [bas010022] Funding Source: UKRI; Natural Environment Research Council [bas010022] Funding Source: researchfish</t>
  </si>
  <si>
    <t>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</si>
  <si>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2169-9380</t>
  </si>
  <si>
    <t>2169-9402</t>
  </si>
  <si>
    <t>J GEOPHYS RES-SPACE</t>
  </si>
  <si>
    <t>J. Geophys. Res-Space Phys.</t>
  </si>
  <si>
    <t>A1</t>
  </si>
  <si>
    <t>A01211</t>
  </si>
  <si>
    <t>10.1029/2007JA012362</t>
  </si>
  <si>
    <t>Astronomy &amp; Astrophysics</t>
  </si>
  <si>
    <t>256UE</t>
  </si>
  <si>
    <t>WOS:000252754600002</t>
  </si>
  <si>
    <t>Ray, RD</t>
  </si>
  <si>
    <t>Ray, R. D.</t>
  </si>
  <si>
    <t>A preliminary tidal analysis of ICESat laser altimetry: Southern Ross Ice Shelf</t>
  </si>
  <si>
    <t>GLOBAL OCEAN TIDES; GEOSAT ALTIMETRY; SEA; SPECTROSCOPY; SATELLITE; MODEL</t>
  </si>
  <si>
    <t>Satellite laser altimetry could soon play a key role in mapping poorly known ocean tides underneath Antarctic ice shelves. The amount of ICESat data now collected over the southernmost part of the Ross Ice Shelf is sufficient to warrant direct tidal analysis. Tides are estimated here from ten operational ICESat periods, totaling 363 days. A response analysis helps overcome unfavorable tidal sampling, especially an S(2) correlation with the annual cycle. Comparisons of tidal estimates against independent station data show RMS constituent differences around 3 cm - still somewhat large, but an encouraging result for such a challenging region.</t>
  </si>
  <si>
    <t>NASA, Goddard Space Flight Ctr, Greenbelt, MD 21114 USA</t>
  </si>
  <si>
    <t>National Aeronautics &amp; Space Administration (NASA); NASA Goddard Space Flight Center</t>
  </si>
  <si>
    <t>Ray, RD (corresponding author), NASA, Goddard Space Flight Ctr, Code 698, Greenbelt, MD 21114 USA.</t>
  </si>
  <si>
    <t>richard.ray@nasa.gov</t>
  </si>
  <si>
    <t>Ray, Richard D/D-1034-2012</t>
  </si>
  <si>
    <t>JAN 23</t>
  </si>
  <si>
    <t>L02505</t>
  </si>
  <si>
    <t>10.1029/2007GL032125</t>
  </si>
  <si>
    <t>256TA</t>
  </si>
  <si>
    <t>WOS:000252751600003</t>
  </si>
  <si>
    <t>Romanov, YA; Romanova, NA; Romanov, P</t>
  </si>
  <si>
    <t>Romanov, Yury A.; Romanova, Nina A.; Romanov, Peter</t>
  </si>
  <si>
    <t>Distribution of icebergs in the Atlantic and Indian ocean sectors of the Antarctic region and its possible links with ENSO</t>
  </si>
  <si>
    <t>SOUTHERN-OSCILLATION; FREQUENCIES; ANOMALIES; SIZES</t>
  </si>
  <si>
    <t>The spatial distribution and multiyear variability of iceberg concentration in the Atlantic and Indian ocean sectors of the Antarctic region have been studied using ship-borne observations of iceberg occurrence. The collected dataset includes more than 40,000 reports predominantly from Russian and Australian research vessels made over the last 36 years (1970 - 2005). The analysis of the data has revealed a gradual decrease in the iceberg concentration away from the coast of Antarctica and a substantial variation along the coast line. Large concentration of icebergs was found in the Weddell Sea and north-east of the Antarctic Peninsula. Several regions in the Atlantic and Indian Ocean sector of Antarctica have been identified where yearly anomalies of the iceberg occurrence exhibit a noticeable correlation with El Nino/Southern Oscillation (ENSO) events. The strongest ENSO effect was observed in the region east of Drake Passage where the iceberg concentration increased by about 50% during years of the negative Southern Oscillation Index (SOI) phase. The change in the iceberg amount is explained by an increased iceberg drift into this region from the southern part of Weddell Sea and from Pacific Ocean. The latter is caused by anomalous surface pressure High and associated anticlockwise circulation around the pressure anomaly developing in the south-eastern part of Pacific Ocean during the negative phase of ENSO.</t>
  </si>
  <si>
    <t>[Romanov, Yury A.; Romanova, Nina A.] Russian Acad Sci, PP Shirshov Oceanol Inst, Moscow 117218, Russia; [Romanov, Peter] Univ Maryland, Cooperat Inst Climate Studies, College Pk, MD 20746 USA</t>
  </si>
  <si>
    <t>Russian Academy of Sciences; Shirshov Institute of Oceanology; University System of Maryland; University of Maryland College Park</t>
  </si>
  <si>
    <t>Romanov, YA (corresponding author), Russian Acad Sci, PP Shirshov Oceanol Inst, Moscow 117218, Russia.</t>
  </si>
  <si>
    <t>romanov@ocean.ru; peter.romanov@noaa.gov</t>
  </si>
  <si>
    <t>Romanov, Yury/S-6708-2016; Romanov, Peter/F-5622-2010</t>
  </si>
  <si>
    <t>Romanov, Peter/0000-0002-2153-8307</t>
  </si>
  <si>
    <t>L02506</t>
  </si>
  <si>
    <t>10.1029/2007GL031685</t>
  </si>
  <si>
    <t>WOS:000252751600002</t>
  </si>
  <si>
    <t>Fok, MC; Horne, RB; Meredith, NP; Glauert, SA</t>
  </si>
  <si>
    <t>Fok, Mei-Ching; Horne, Richard B.; Meredith, Nigel P.; Glauert, Sarah A.</t>
  </si>
  <si>
    <t>Radiation belt environment model: Application to space weather nowcasting</t>
  </si>
  <si>
    <t>DRIVEN ELECTRON ACCELERATION; PITCH-ANGLE DIFFUSION; RELATIVISTIC ELECTRONS; MAGNETIC-FIELD; RING CURRENT; GEOMAGNETIC STORMS; INNER MAGNETOSPHERE; CHORUS WAVES; SOLAR; MECHANISMS</t>
  </si>
  <si>
    <t>A data-driven physical model of the energetic electrons in the Earth's radiation belts, called the Radiation Belt Environment (RBE) model, has been developed to understand Earth's radiation belt dynamics and to predict the radiation conditions found there. This model calculates radiation belt electron fluxes from 10 keV to 6 MeV in the inner magnetosphere. It takes into account the realistic, time-varying magnetic field and considers effects of wave-particle interactions with whistler mode chorus waves. The storm on 23-27 October 2002 is simulated and the temporal evolutions of the radial and pitch angle distributions of energetic electrons are examined. The calculated electron fluxes agree very well with particle data from the low-orbit SAMPEX and LANL geosynchronous satellites, when the wave-particle interactions are taken into account during storm recovery. Flux increases begin near the plasmapause and then diffuse outward to higher L shells, consistent with previous findings from statistical studies. A simplified version of the RBE model is now running in real time to provide nowcasting of the radiation belt environment. With further improvements and refinements, this model will have important value in both scientific and space weather applications.</t>
  </si>
  <si>
    <t>[Fok, Mei-Ching] NASA, Goddard Space Flight Ctr, Geosp Phys Lab, Greenbelt, MD 20771 USA; [Horne, Richard B.; Meredith, Nigel P.; Glauert, Sarah A.] British Antarctic Survey, Div Phys Sci, Cambridge CB3 0ET, England</t>
  </si>
  <si>
    <t>National Aeronautics &amp; Space Administration (NASA); NASA Goddard Space Flight Center; UK Research &amp; Innovation (UKRI); Natural Environment Research Council (NERC); NERC British Antarctic Survey</t>
  </si>
  <si>
    <t>Fok, MC (corresponding author), NASA, Goddard Space Flight Ctr, Geosp Phys Lab, Code 673, Greenbelt, MD 20771 USA.</t>
  </si>
  <si>
    <t>mei-ching.h.fok@nasa.gov</t>
  </si>
  <si>
    <t>Horne, Richard B/U-3764-2019; Meredith, Nigel P/C-5806-2018; Fok, Mei-Ching/D-1626-2012</t>
  </si>
  <si>
    <t>Horne, Richard B/0000-0002-0412-6407; Fok, Mei-Ching/0000-0001-9500-866X; Meredith, Nigel/0000-0001-5032-3463</t>
  </si>
  <si>
    <t>Natural Environment Research Council [bas010022] Funding Source: researchfish; NERC [bas010022] Funding Source: UKRI</t>
  </si>
  <si>
    <t>A3</t>
  </si>
  <si>
    <t>A03S08</t>
  </si>
  <si>
    <t>10.1029/2007JA012558</t>
  </si>
  <si>
    <t>256UK</t>
  </si>
  <si>
    <t>WOS:000252755200001</t>
  </si>
  <si>
    <t>Rybski, D; Bunde, A; von Storch, H</t>
  </si>
  <si>
    <t>Rybski, Diego; Bunde, Armin; von Storch, Hans</t>
  </si>
  <si>
    <t>Long-term memory in 1000-year simulated temperature records</t>
  </si>
  <si>
    <t>DETRENDED FLUCTUATION ANALYSIS; CLIMATE-CHANGE; VARIABILITY; PERSISTENCE; MODEL; HYDROLOGY; LAND</t>
  </si>
  <si>
    <t>We study the appearance of long-term persistence in temperature records, obtained from the global coupled general circulation model ECHO-G for two runs, using detrended fluctuation analysis. The first run is a historical simulation for the years 1000-1990 (with greenhouse gas, solar, and volcanic forcing), while the second run is a 1000-year control run'' with constant external forcings. We consider daily data of all grid points as well as their biannual averages in order to suppress 2-year oscillations appearing in the model records for some sites near the equator. Our results substantially confirm earlier studies of (considerably shorter) instrumental data and extend their results from decades to centuries. In the case of the historical simulation we find that most continental sites have correlation exponents gamma between 0.8 and 0.6. For the ocean sites the long-term correlations seem to vanish at the equator and become nonstationary at the Arctic and Antarctic circles. In the control run the long-term correlations are less pronounced. Compared with the historical run, the correlation exponents are increased, and show a more pronounced latitude dependence, visible also at continental sites. When analyzing biannual averages, we find stronger long-term correlations in the historical run at continental sites and a less pronounced latitude dependence. In all cases, the exponent gamma does not depend on the continentality of the sites.</t>
  </si>
  <si>
    <t>[Rybski, Diego; Bunde, Armin] Univ Giessen, Inst Theoret Phys 3, Giessen, Germany; [von Storch, Hans] GKSS Forschungszentrum Geesthacht GmbH, Inst Coastal Res, Geesthacht, Germany</t>
  </si>
  <si>
    <t>Justus Liebig University Giessen; Helmholtz Association; Helmholtz-Zentrum Hereon</t>
  </si>
  <si>
    <t>Rybski, D (corresponding author), Univ Giessen, Inst Theoret Phys 3, Giessen, Germany.</t>
  </si>
  <si>
    <t>von Storch, Hans/J-4165-2012</t>
  </si>
  <si>
    <t>von Storch, Hans/0000-0002-5825-8069; Rybski, Diego/0000-0001-6125-7705</t>
  </si>
  <si>
    <t>JAN 19</t>
  </si>
  <si>
    <t>D02106</t>
  </si>
  <si>
    <t>10.1029/2007JD008568</t>
  </si>
  <si>
    <t>254EH</t>
  </si>
  <si>
    <t>Bronze, Green Published</t>
  </si>
  <si>
    <t>WOS:000252568700002</t>
  </si>
  <si>
    <t>Scher, HD; Martin, EE</t>
  </si>
  <si>
    <t>Scher, Howie D.; Martin, Ellen E.</t>
  </si>
  <si>
    <t>Oligocene deep water export from the North Atlantic and the development of the Antarctic Circumpolar Current examined with neodymium isotopes</t>
  </si>
  <si>
    <t>PALEOCEANOGRAPHY</t>
  </si>
  <si>
    <t>FOSSIL FISH TEETH; SOUTHERN-OCEAN; PB ISOTOPES; FERROMANGANESE CRUSTS; MIDDLE EOCENE; DRAKE PASSAGE; SEAWATER SR; SCOTIA SEA; ND; CIRCULATION</t>
  </si>
  <si>
    <t>Neodymium (Nd) isotopes were measured on 181 samples of fossil fish teeth recovered from Oligocene to Miocene sections at Ocean Drilling Program Site 1090 (3700 m water depth) on Agulhas Ridge in the Atlantic sector of the Southern Ocean. A long-term decreasing trend toward less radiogenic Nd isotope compositions dominates the record. This trend is interrupted by shifts toward more radiogenic compositions near the early/late Oligocene boundary and the Oligocene/Miocene boundary. Overall, e Nd values at Agulhas Ridge are more radiogenic than at other Atlantic locations, and are similar to those at Indian Ocean locations. The pattern of variability is remarkably similar to Nd isotope results from Walvis Ridge (South Atlantic) and Ninetyeast Ridge (Indian Ocean). In contrast, Agulhas Ridge and Maud Rise Nd isotope records do not show similar patterns over this interval. Results from this study indicate that deep water in the Atlantic flowed predominantly from north to south during the Oligocene and Miocene, and that export of Northern Component Water (NCW) to the Southern Ocean increased in the late Oligocene. There is also evidence for efficient exchange of deep waters between the Atlantic sector of the Southern Ocean and the Indian Ocean, although the direction of deep water flow is not entirely clear from these data. The shifts to more radiogenic Nd isotopic compositions most likely represent increases in the flux of Pacific waters through Drake Passage, and the timing of these events reflect development of a mature Antarctic Circumpolar Current (ACC). The relative timing of increased NCW export and ACC maturation support hypotheses that link deep water formation in the North Atlantic to the opening of Drake Passage.</t>
  </si>
  <si>
    <t>[Scher, Howie D.; Martin, Ellen E.] Univ Florida, Dept Geol Sci, Gainesville, FL 32611 USA; [Scher, Howie D.] Univ Calif Santa Cruz, Inst Marine Sci, Ocean Sci Dept, Santa Cruz, CA 95064 USA</t>
  </si>
  <si>
    <t>State University System of Florida; University of Florida; University of California System; University of California Santa Cruz</t>
  </si>
  <si>
    <t>Scher, HD (corresponding author), Univ Florida, Dept Geol Sci, Gainesville, FL 32611 USA.</t>
  </si>
  <si>
    <t>Scher, Howie/C-4927-2013</t>
  </si>
  <si>
    <t>0883-8305</t>
  </si>
  <si>
    <t>1944-9186</t>
  </si>
  <si>
    <t>Paleoceanography</t>
  </si>
  <si>
    <t>PA1205</t>
  </si>
  <si>
    <t>10.1029/2006PA001400</t>
  </si>
  <si>
    <t>Geosciences, Multidisciplinary; Oceanography; Paleontology</t>
  </si>
  <si>
    <t>Geology; Oceanography; Paleontology</t>
  </si>
  <si>
    <t>254FL</t>
  </si>
  <si>
    <t>WOS:000252571700001</t>
  </si>
  <si>
    <t>Connolley, WM</t>
  </si>
  <si>
    <t>Connolley, W. M.</t>
  </si>
  <si>
    <t>Comment on Was the 2003 European summer heat wave unusual in a global context? by Thomas N. Chase et al.</t>
  </si>
  <si>
    <t>Editorial Material</t>
  </si>
  <si>
    <t>British Antarctic Survey, Cambridge CB3 0ET, England</t>
  </si>
  <si>
    <t>UK Research &amp; Innovation (UKRI); Natural Environment Research Council (NERC); NERC British Antarctic Survey</t>
  </si>
  <si>
    <t>Connolley, WM (corresponding author), British Antarctic Survey, High Cross,Madingley Rd, Cambridge CB3 0ET, England.</t>
  </si>
  <si>
    <t>wmc@bas.ac.uk</t>
  </si>
  <si>
    <t>NERC [bas010014] Funding Source: UKRI; Natural Environment Research Council [bas010014] Funding Source: researchfish</t>
  </si>
  <si>
    <t>NERC(UK Research &amp; Innovation (UKRI)Natural Environment Research Council (NERC)); Natural Environment Research Council(UK Research &amp; Innovation (UKRI)Natural Environment Research Council (NERC))</t>
  </si>
  <si>
    <t>JAN 17</t>
  </si>
  <si>
    <t>L02703</t>
  </si>
  <si>
    <t>10.1029/2007GL031171</t>
  </si>
  <si>
    <t>254DR</t>
  </si>
  <si>
    <t>WOS:000252567100003</t>
  </si>
  <si>
    <t>Hatch, CD; Gough, RV; Toon, OB; Tolbert, MA</t>
  </si>
  <si>
    <t>Hatch, Courtney D.; Gough, Raina V.; Toon, Owen B.; Tolbert, Margaret A.</t>
  </si>
  <si>
    <t>Heterogeneous nucleation of nitric acid trihydrate on clay minerals: Relevance to Type Ia polar stratospheric clouds</t>
  </si>
  <si>
    <t>JOURNAL OF PHYSICAL CHEMISTRY B</t>
  </si>
  <si>
    <t>WINTER ARCTIC STRATOSPHERE; ANTARCTIC OZONE HOLE; PHYSICAL-CHEMISTRY; INFRARED-SPECTRA; LOW-TEMPERATURES; VAPOR-PRESSURES; ICE NUCLEATION; DUST PARTICLES; CIRRUS CLOUDS; NAT FORMATION</t>
  </si>
  <si>
    <t>Although critical to atmospheric modeling of stratospheric ozone depletion, selective heterogeneous nuclei that promote the formation of Type la polar stratospheric clouds (PSCs) are largely unknown. While mineral particles are known to be good ice nuclei, it is currently not clear whether they are also good nuclei for PSCs. In the present study, a high-vacuum chamber equipped with transmission Fourier transform infrared spectroscopy and a quadrupole mass spectrometer was used to study heterogeneous nucleation of nitric acid trihydrate (NAT) on two clay minerals-Na-montmorillonite and kaolinite-as analogs of atmospheric terrestrial and extraterrestrial minerals. The minerals are first coated with a 3:1 supercooled H2O/HNO3 solution prior to the observed nucleation of crystalline NAT. At 220 K, NAT formation was observed at low S-NAT values of 12 and 7 on kaolinite and montmorillonite clays, respectively. These are the lowest SNAT values reported in the literature on any substrate. However, NAT nucleation exhibited significant temperature dependence. At lower temperatures, representative of typical polar stratospheric conditions, much higher supersaturations were required before nucleation was observed. Our results suggest that NAT nucleation on mineral particles, not previously treated with sulfuric acid, may not be an important nucleation platform for Type la PSCs under normal polar stratospheric conditions.</t>
  </si>
  <si>
    <t>[Hatch, Courtney D.] Univ Iowa, Iowa City, IA 52242 USA; [Hatch, Courtney D.; Gough, Raina V.; Tolbert, Margaret A.] Univ Colorado, Dept Chem &amp; Biochem, CIRES, Boulder, CO 80309 USA; [Toon, Owen B.] Univ Colorado, LASP, PAOS, Boulder, CO 80309 USA</t>
  </si>
  <si>
    <t>University of Iowa; University of Colorado System; University of Colorado Boulder; University of Colorado System; University of Colorado Boulder</t>
  </si>
  <si>
    <t>Hatch, CD (corresponding author), Univ Iowa, 272 IATL, Iowa City, IA 52242 USA.</t>
  </si>
  <si>
    <t>Courtney-Hatch@uiowa.edu</t>
  </si>
  <si>
    <t>Gough, Raina V/F-7574-2013</t>
  </si>
  <si>
    <t>GOUGH, RAINA/0000-0003-2755-7282</t>
  </si>
  <si>
    <t>AMER CHEMICAL SOC</t>
  </si>
  <si>
    <t>1155 16TH ST, NW, WASHINGTON, DC 20036 USA</t>
  </si>
  <si>
    <t>1520-6106</t>
  </si>
  <si>
    <t>J PHYS CHEM B</t>
  </si>
  <si>
    <t>J. Phys. Chem. B</t>
  </si>
  <si>
    <t>10.1021/jp075828n</t>
  </si>
  <si>
    <t>Chemistry, Physical</t>
  </si>
  <si>
    <t>Chemistry</t>
  </si>
  <si>
    <t>250GE</t>
  </si>
  <si>
    <t>WOS:000252287200047</t>
  </si>
  <si>
    <t>Guéguen, C; Tortell, PD</t>
  </si>
  <si>
    <t>Gueguen, C.; Tortell, P. D.</t>
  </si>
  <si>
    <t>High-resolution measurement of Southern Ocean CO2 and O2/Ar by membrane inlet mass spectrometry</t>
  </si>
  <si>
    <t>MARINE CHEMISTRY</t>
  </si>
  <si>
    <t>CO2; O-2/Ar ratio; MIMS; sea-air flux; Southern Ocean; Ross Sea; biological activity</t>
  </si>
  <si>
    <t>NET COMMUNITY PRODUCTION; CARBON-DIOXIDE; ROSS SEA; GAS-EXCHANGE; VARIABILITY; PCO(2); OXYGEN; FLUX; DISTRIBUTIONS; DYNAMICS</t>
  </si>
  <si>
    <t>This paper evaluates the simultaneous measurement of dissolved gases (CO2 and O-2/Ar ratios) by membrane inlet mass spectrometry (MIMS) along the 180 degrees meridian in the Southern Ocean. The calibration of pCO(2) measurements by MIMS is reported for the first time using two independent methods of temperature correction. Multiple calibrations and method comparison exercises conducted in the Southern Ocean between New Zealand and the Ross Sea showed that the MIMS method provides pCO(2) measurements that are consistent with those obtained by standard techniques (i.e. headspace equilibrator equipped with a Li-Cor NDIR analyser). The overall MIMS accuracy compared to Li-Cor measurements was 0.8 mu atm. The O-2/Ar ratio measurements were calibrated with air-equilibrated seawater standards stored at constant temperature (0 +/- 1 degrees C). The reproducibility of the O-2/Ar standards was better than 0.07% during the 9 days of transect between New. Zealand and the Ross Sea. The high frequency, real-time measurements of dissolved gases with MIMS revealed significant small-scale heterogeneity in the distribution of pCO(2) and biologically-induced O-2 supersaturation (Delta O-2/Ar). North of 65 degrees S several prominent thermal fronts influenced CO2 concentrations, with biological factors also contributing to local variability. In contrast, the spatial variation of pCO(2) in the Ross Sea gyre was almost entirely attributed to the biological utilization of CO2, With only small temperature effects. This high productivity region showed a strong inverse relationship between pCO(2) and biologically-induced O-2 disequilibria (r(2) = 0.93). The daily sea air CO2 flux ranged from -0.2 mmol/m(2) in the Northern Sub-Antarctic Front to - 6.4 mmol/m(2) on the Ross Sea shelves where the maximum CO2 influx reached values up to -13.9 mmol/m(2). This suggests that the Southern Ocean water (south of 58 degrees S) acts as a seasonal sink for atmospheric CO2 at the time of our field study. (C) 2007 Elsevier B.V. All rights reserved.</t>
  </si>
  <si>
    <t>[Gueguen, C.] Trent Univ, Dept Chem, Peterborough, ON K9J 7B8, Canada; [Gueguen, C.; Tortell, P. D.] Univ British Columbia, Dept Earth &amp; Ocean Sci, Vancouver, BC V5Z 1M9, Canada; [Tortell, P. D.] Univ British Columbia, Dept Bot, Vancouver, BC V5Z 1M9, Canada</t>
  </si>
  <si>
    <t>Trent University; University of British Columbia; University of British Columbia</t>
  </si>
  <si>
    <t>Guéguen, C (corresponding author), Trent Univ, Dept Chem, 1600 W Bank Dr, Peterborough, ON K9J 7B8, Canada.</t>
  </si>
  <si>
    <t>celinegueguen@trentu.ca</t>
  </si>
  <si>
    <t>Tortell, Philippe/0000-0003-0212-2151; Gueguen, Celine/0000-0002-2010-3440</t>
  </si>
  <si>
    <t>0304-4203</t>
  </si>
  <si>
    <t>1872-7581</t>
  </si>
  <si>
    <t>MAR CHEM</t>
  </si>
  <si>
    <t>Mar. Chem.</t>
  </si>
  <si>
    <t>JAN 16</t>
  </si>
  <si>
    <t>3-4</t>
  </si>
  <si>
    <t>10.1016/j.marchem.2007.11.007</t>
  </si>
  <si>
    <t>Chemistry, Multidisciplinary; Oceanography</t>
  </si>
  <si>
    <t>Chemistry; Oceanography</t>
  </si>
  <si>
    <t>265AV</t>
  </si>
  <si>
    <t>WOS:000253332400005</t>
  </si>
  <si>
    <t>Li, SX; Hong, HS; Zheng, FY; Deng, NS</t>
  </si>
  <si>
    <t>Li, Shun-Xing; Hong, Hua-Sheng; Zheng, Feng-Ying; Deng, Nan-Sheng</t>
  </si>
  <si>
    <t>Effects of metal pollution and macronutrient enrichment on the photoproduction of hydroxyl radicals in seawater by the alga Dunaliella salina</t>
  </si>
  <si>
    <t>hydroxyl radical; photoproduction; marine alga; metal pollution; macronutrient enrichment; photochemistry; coastal seawater</t>
  </si>
  <si>
    <t>DISSOLVED ORGANIC-MATTER; HYDROGEN-PEROXIDE; PHOTOCHEMICAL PRODUCTION; MASS SPECTROMETRY; ANTARCTIC WATERS; FRESH-WATER; MARINE; MERCURY; LEAD; EUTROPHICATION</t>
  </si>
  <si>
    <t>The marine microalga Dunaliella salina was used as a model organism in this study. Hydroxyl radicals ((OH)-O-center dot) were determined using HPLC with sodium benzoate as a probe, and the photochemical activity of marine alga in the formation of (OH)-O-center dot was confirmed for the first time. Coastal organisms are often exposed to both metal pollution and macronutrient enrichment, and so the effects of algal concentration, exposure time, macronutrient (nitrate and phosphate) additions and metal pollution (5.0 mu g/L Pb(II) and 0.1 mu g/L methytmercury) on the photoproduction of (OH)-O-center dot were examined. Photoproduction was increased with increasing algal concentration and with exposure time. It could be increased greatly, with or without the presence of D. salina, by the addition of Pb(II), or Pb(II) and methylmercury, but was decreased by the addition of methylmercury only. Photoproduction of (OH)-O-center dot was positively correlated with the amount of basic functional groups on the cell's surface and also with the chlorophyll a content per cell. The influence of macronutrient additions on the photoproduction of (OH)-O-center dot resulted from the photolysis of nitrate and their effects on the photochemical activity of D. salina. (C) 2008 Elsevier B.V. All rights reserved.</t>
  </si>
  <si>
    <t>[Li, Shun-Xing; Zheng, Feng-Ying] Zhagzhou Teachers Coll, Dept Chem &amp; Environm Sci, Zhangzhou 363000, Peoples R China; [Li, Shun-Xing; Hong, Hua-Sheng] Xiamen Univ, State Key Lab Marine Environm Sci, Xiamen 361005, Peoples R China; [Deng, Nan-Sheng] Wuhan Univ, Dept Environm Sci, Wuhan 430072, Peoples R China</t>
  </si>
  <si>
    <t>Xiamen University; Wuhan University</t>
  </si>
  <si>
    <t>Li, SX (corresponding author), Zhagzhou Teachers Coll, Dept Chem &amp; Environm Sci, Zhangzhou 363000, Peoples R China.</t>
  </si>
  <si>
    <t>lishunxing@fjzs.edu.cn</t>
  </si>
  <si>
    <t>Hong, HS/G-3347-2010; van den Berg, Constant MG/A-7065-2012</t>
  </si>
  <si>
    <t>ELSEVIER SCIENCE BV</t>
  </si>
  <si>
    <t>PO BOX 211, 1000 AE AMSTERDAM, NETHERLANDS</t>
  </si>
  <si>
    <t>10.1016/j.marchem.2007.11.012</t>
  </si>
  <si>
    <t>WOS:000253332400007</t>
  </si>
  <si>
    <t>Seo, C; Choi, YH; Sohn, JH; Ahn, JS; Yim, JH; Lee, HK; Oh, H</t>
  </si>
  <si>
    <t>Seo, Changon; Choi, Yun-Hyeok; Sohn, Jae Hak; Ahn, Jong Seog; Yim, Joung Han; Lee, Hong Kum; Oh, Hyuncheol</t>
  </si>
  <si>
    <t>Ohioensins F and G:: Protein tyrosine phosphatase 1B inhibitory benzonaphthoxanthenones from the Antarctic moss Polytrichastrum alpinum</t>
  </si>
  <si>
    <t>BIOORGANIC &amp; MEDICINAL CHEMISTRY LETTERS</t>
  </si>
  <si>
    <t>Polytrichastrum alpinum; protein tyrosine phosphatase 1B (PTP1B); benzonaphthoxanthen ones; non-competitive inhibitor</t>
  </si>
  <si>
    <t>TYROSINE-PHOSPHATASE 1B; CONSTITUENTS; PTP1B</t>
  </si>
  <si>
    <t>Ohioensins F and G (1 and 2), two new benzonaphthoxanthenones, have been isolated from the MeOH extract of Antarctic moss Polytrichastrum alpinum by various chromatographic methods. The structures of these compounds were determined mainly by analysis of NMR spectroscopic data. The known compounds ohioensins A and C (3 and 4) were also obtained. Compounds 1-4 showed potent inhibitory activity against therapeutically targeted protein tyrosine phosphatase 1B (PTP1B). Kinetic analysis of PTP1B inhibition by ohioensin F(1) suggested that benzonaphthoxanthenones inhibited PTP1B activity in a non-competitive manner. (c) 2007 Elsevier Ltd. All rights reserved.</t>
  </si>
  <si>
    <t>[Seo, Changon; Choi, Yun-Hyeok; Sohn, Jae Hak; Oh, Hyuncheol] Silla Univ, Coll Med &amp; Life Sci, Pusan 617736, South Korea; [Ahn, Jong Seog] KRIBB, Taejon 305333, South Korea; [Yim, Joung Han; Lee, Hong Kum] KORDI, Korea Polar Res Inst, Inchon 406840, South Korea</t>
  </si>
  <si>
    <t>Silla University; Korea Research Institute of Bioscience &amp; Biotechnology (KRIBB); Korea Institute of Ocean Science &amp; Technology (KIOST); Korea Polar Research Institute (KOPRI)</t>
  </si>
  <si>
    <t>Oh, H (corresponding author), Silla Univ, Coll Med &amp; Life Sci, San 1-1 Gwaebeop Dong, Pusan 617736, South Korea.</t>
  </si>
  <si>
    <t>hoh@silla.ac.kr</t>
  </si>
  <si>
    <t>PERGAMON-ELSEVIER SCIENCE LTD</t>
  </si>
  <si>
    <t>OXFORD</t>
  </si>
  <si>
    <t>THE BOULEVARD, LANGFORD LANE, KIDLINGTON, OXFORD OX5 1GB, ENGLAND</t>
  </si>
  <si>
    <t>0960-894X</t>
  </si>
  <si>
    <t>1464-3405</t>
  </si>
  <si>
    <t>BIOORG MED CHEM LETT</t>
  </si>
  <si>
    <t>Bioorg. Med. Chem. Lett.</t>
  </si>
  <si>
    <t>JAN 15</t>
  </si>
  <si>
    <t>10.1016/j.bmcl.2007.11.036</t>
  </si>
  <si>
    <t>Chemistry, Medicinal; Chemistry, Organic</t>
  </si>
  <si>
    <t>Pharmacology &amp; Pharmacy; Chemistry</t>
  </si>
  <si>
    <t>266CX</t>
  </si>
  <si>
    <t>WOS:000253410100063</t>
  </si>
  <si>
    <t>Abelson, M; Agnon, A; Almogi-Labin, A</t>
  </si>
  <si>
    <t>Abelson, Meir; Agnon, Arnotz; Almogi-Labin, Ahuva</t>
  </si>
  <si>
    <t>Indications for control of the Iceland plume on the Eocene-Oligocene greenhouse-icehouse climate transition</t>
  </si>
  <si>
    <t>EARTH AND PLANETARY SCIENCE LETTERS</t>
  </si>
  <si>
    <t>Iceland plume; North Atlantic magnetic anomalies; Reykjanes Ridge; Greenland-Scotland Ridge; North Atlantic Deep Water; thermohaline circulation; Eocene-Oligocene cooling</t>
  </si>
  <si>
    <t>ATLANTIC DEEP-WATER; V-SHAPED RIDGES; NORTH-ATLANTIC; ANTARCTIC GLACIATION; THERMOHALINE CIRCULATION; CONTINENTAL BREAKUP; SOUTHERN-OCEAN; GREENLAND; SEA; INITIATION</t>
  </si>
  <si>
    <t>The Eocene/Oligocene boundary, at about 33.5 Myr ago, marks the transition from 'greenhouse-' to 'icehouse-world', accompanied by a sudden cooling of ocean bottom-water. We show that this global event is simultaneous with a deep rooted mantle process: an abrupt suppression of the Iceland plume triggered rapid deepening of the Greenland-Scotland Ridge (GSR) - the sill moderating deep circulation between the Nordic seas and North Atlantic. Striking coincidence of several sets of events reflects the abrupt suppression of the Iceland plume and a rapid removal of its influence on the nearby Reykjanes Ridge (RR): 1) A sudden segmentation of the paleo-RR seen on seafloor magnetic anomalies, 2) a drop in spreading rate of the North Atlantic, 3) a transition from thick to normal oceanic crust, and 4) a rapid deepening and accelerated subsidence of the GSR, inferred from the sedimentary record of DSDP site 336. The plume suppression and the concomitant GSR deepening coincide with the initiation of North Atlantic Deep Water (NADW) at the Eocene/Oligocene (E/O) transition, attested by onset of drift sedimentation in the Faroe-Shetland Channel (FSC), the deepest spill-point on the GSR, and in the North Atlantic, the Feni Drift. These processes have influenced global deepwater composition and, temperature as indicated by the striking correlation with the jump in global delta O-18 (&gt; 1%omicron) measured on benthic foraminifers that reflects the E/O global cooling, and with enrichment of unradiogenic Nd isotopes in the southeastern Atlantic and Southern Ocean. The initiation of Atlantic thermohaline circulation at that time is inferred from the abrupt split between planktonic and benthic 6180, indicating the building of ocean-water stratification. This scenario is further corroborated by a reversal in benthic 6180 at the late Oligocene, coincident with the renewal of vigorous Iceland plume some 25 Myr ago, causing a considerable retardation in NADW fluxes. The plume renewal is inferred from the emergence of the Iceland plateau, the transition to oblique-unsegmented RR axis, the cessation in deepening of the GSR, and rapid increase in spreading rate of the North Atlantic. These events coincide with decreasing difference in planktonic-benthic in global delta O-18 by the late Oligocene. All these inferences suggest the role of the NADW sourced at the Nordic seas to form background cooler conditions in the long time scale since the early Oligocene, or to form permanent conditions of invigorated thermohaline circulation that forces CO2 trap in the oceans. (c) 2007 Elsevier B.V. All rights reserved.</t>
  </si>
  <si>
    <t>[Abelson, Meir; Almogi-Labin, Ahuva] Geol Survey Israel, IL-95501 Jerusalem, Israel; [Agnon, Arnotz] Hebrew Univ Jerusalem, Inst Earth Sci, IL-91904 Jerusalem, Israel</t>
  </si>
  <si>
    <t>Geological Survey Israel; Hebrew University of Jerusalem</t>
  </si>
  <si>
    <t>Abelson, M (corresponding author), Geol Survey Israel, 30 Malkhey Israel St, IL-95501 Jerusalem, Israel.</t>
  </si>
  <si>
    <t>meira@gsi.gov.il</t>
  </si>
  <si>
    <t>Agnon, Amotz/AAC-8753-2019</t>
  </si>
  <si>
    <t>Almogi-Labin, Ahuva/0000-0002-4082-7120</t>
  </si>
  <si>
    <t>0012-821X</t>
  </si>
  <si>
    <t>1385-013X</t>
  </si>
  <si>
    <t>EARTH PLANET SC LETT</t>
  </si>
  <si>
    <t>Earth Planet. Sci. Lett.</t>
  </si>
  <si>
    <t>1-2</t>
  </si>
  <si>
    <t>10.1016/j.epsl.2007.09.021</t>
  </si>
  <si>
    <t>Geochemistry &amp; Geophysics</t>
  </si>
  <si>
    <t>261MD</t>
  </si>
  <si>
    <t>WOS:000253082300003</t>
  </si>
  <si>
    <t>Tripati, AK; Eagle, RA; Morton, A; Dowdeswell, JA; Atkinson, KL; Bahe, Y; Dawber, CF; Khadun, E; Shaw, RMH; Shorttle, O; Thanabalasundaram, L</t>
  </si>
  <si>
    <t>Tripati, Aradhna K.; Eagle, Robert A.; Morton, Andrew; Dowdeswell, Julian A.; Atkinson, Katie L.; Bahe, Yannick; Dawber, Caroline F.; Khadun, Emma; Shaw, Ruth M. H.; Shorttle, Oliver; Thanabalasundaram, Lavaniya</t>
  </si>
  <si>
    <t>Evidence for glaciation in the Northern Hemisphere back to 44 Ma from ice-rafted debris in the Greenland Sea</t>
  </si>
  <si>
    <t>paleoclimate; Northern Hemisphere glaciation; ice-rafted debris; greenhouse-icehouse transition; Eocene-Oligocene transition; polar climate</t>
  </si>
  <si>
    <t>QUARTZ SAND GRAINS; ANTARCTIC GLACIATION; OLIGOCENE; ATLANTIC; OCEAN; EOCENE; PALEOCEANOGRAPHY; CIRCULATION; EVOLUTION; SEDIMENTS</t>
  </si>
  <si>
    <t>The widely accepted age estimate for the onset of glaciation in the Northern Hemisphere ranges between 2 and 15 million years ago (Ma). However, recent studies indicate the date for glacial onset may be significantly older. We report the presence of ice-rafted debris (IRD) in similar to 44 to 30 Ma sediments from the Greenland Sea, evidence for glaciation in the North Atlantic during the Middle Eocene to Early Oligocene. Detailed sedimentological evidence indicates that glaciers extended to sea level in the region, allowing icebergs to be produced. IRD may have been sourced from tidewater glaciers, small ice caps, and/or a continental ice sheet. (c) 2007 Elsevier B.V. All rights reserved.</t>
  </si>
  <si>
    <t>[Tripati, Aradhna K.; Dawber, Caroline F.; Shaw, Ruth M. H.] Univ Cambridge, Dept Earth Sci, Cambridge CB2 3EQ, England; [Eagle, Robert A.] Univ Cambridge, Cambridge Inst Med Res, Cambridge CB2 0XY, England; [Morton, Andrew] CASP, Cambridge CB3 0DH, England; [Dowdeswell, Julian A.] Univ Cambridge, Scott Polar Res Inst, Cambridge CB2 1ER, England; [Atkinson, Katie L.] Univ Cambridge, St Catherines Coll, Cambridge CB2 1RL, England; [Bahe, Yannick] Univ Cambridge, Homerton Coll, Cambridge CB2 2PH, England; [Khadun, Emma] Univ Cambridge Girton Coll, Cambridge CB3 0JG, England; [Shorttle, Oliver] Univ Cambridge Queens Coll, Cambridge CB3 9ET, England; [Thanabalasundaram, Lavaniya] Ely Sixth Form Coll, Ely CB6 2SH, Cambs, England</t>
  </si>
  <si>
    <t>University of Cambridge; University of Cambridge; University of Cambridge; University of Cambridge; University of Cambridge; University of Cambridge; University of Cambridge; University of Cambridge</t>
  </si>
  <si>
    <t>Tripati, AK (corresponding author), Univ Cambridge, Dept Earth Sci, Downing St, Cambridge CB2 3EQ, England.</t>
  </si>
  <si>
    <t>atri02@esc.cam.ac.uk</t>
  </si>
  <si>
    <t>Bahe, Yannick/AAU-9870-2020; Shaw, Ruth Maisie Helena/HNR-2798-2023; Shaw, Maisie Ruth Helena/HKM-8314-2023; Eagle, Robert/A-2679-2011; Tripati, Aradhna/C-9419-2011</t>
  </si>
  <si>
    <t>Bahe, Yannick/0000-0002-3196-5126; Shaw, Ruth Maisie Helena/0000-0003-1564-3343; Shaw, Maisie Ruth Helena/0000-0003-1564-3343; Shorttle, Oliver/0000-0002-8713-1446; Eagle, Robert/0000-0003-0304-6111; Tripati, Aradhna/0000-0002-1695-1754; Dowdeswell, Julian/0000-0003-1369-9482</t>
  </si>
  <si>
    <t>NERC [NE/D009049/1] Funding Source: UKRI; Natural Environment Research Council [NE/D009049/1, NE/C510583/1] Funding Source: researchfish</t>
  </si>
  <si>
    <t>10.1016/j.epsl.2007.09.045</t>
  </si>
  <si>
    <t>WOS:000253082300008</t>
  </si>
  <si>
    <t>Polyakov, IV; Alexeev, VA; Belchansky, GI; Dmitrenko, IA; Ivanov, VV; Kirillov, SA; Korablev, AA; Steele, M; Timokhov, LA; Yashayaev, I</t>
  </si>
  <si>
    <t>Polyakov, I. V.; Alexeev, V. A.; Belchansky, G. I.; Dmitrenko, I. A.; Ivanov, V. V.; Kirillov, S. A.; Korablev, A. A.; Steele, M.; Timokhov, L. A.; Yashayaev, I.</t>
  </si>
  <si>
    <t>Arctic ocean freshwater changes over the past 100 years and their causes</t>
  </si>
  <si>
    <t>JOURNAL OF CLIMATE</t>
  </si>
  <si>
    <t>NORTHERN NORTH-ATLANTIC; EAST GREENLAND CURRENT; SEA-ICE COVER; FRAM STRAIT; MULTIDECADAL VARIABILITY; ATMOSPHERIC CIRCULATION; INTERANNUAL VARIABILITY; CLIMATE VARIABILITY; MELT SEASON; TEMPERATURE</t>
  </si>
  <si>
    <t>Recent observations show dramatic changes of the Arctic atmosphere-ice-ocean system. Here the authors demonstrate, through the analysis of a vast collection of previously unsynthesized observational data, that over the twentieth century the central Arctic Ocean became increasingly saltier with a rate of freshwater loss of 239 +/- 270 km(3) decade(-1). In contrast, long-term (1920-2003) freshwater content (FWC) trends over the Siberian shelf show a general freshening tendency with a rate of 29 +/- 50 km(3) decade(-1). These FWC trends are modulated by strong multidecadal variability with sustained and widespread patterns. Associated with this variability, the FWC record shows two periods in the 1920s-30s and in recent decades when the central Arctic Ocean was saltier, and two periods in the earlier century and in the 1940s-70s when it was fresher. The current analysis of potential causes for the recent central Arctic Ocean salinification suggests that the FWC anomalies generated on Arctic shelves ( including anomalies resulting from river discharge inputs) and those caused by net atmospheric precipitation were too small to trigger long-term FWC variations in the central Arctic Ocean; to the contrary, they tend to moderate the observed long-term central-basin FWC changes. Variability of the intermediate Atlantic Water did not have apparent impact on changes of the upper-Arctic Ocean water masses. The authors' estimates suggest that ice production and sustained draining of freshwater from the Arctic Ocean in response to winds are the key contributors to the salinification of the upper Arctic Ocean over recent decades. Strength of the export of Arctic ice and water controls the supply of Arctic freshwater to subpolar basins while the intensity of the Arctic Ocean FWC anomalies is of less importance. Observational data demonstrate striking coherent long-term variations of the key Arctic climate parameters and strong coupling of long-term changes in the Arctic-North Atlantic climate system. Finally, since the high-latitude freshwater plays a crucial role in establishing and regulating global thermohaline circulation, the long-term variations of the freshwater content discussed here should be considered when assessing climate change and variability.</t>
  </si>
  <si>
    <t>[Polyakov, I. V.; Alexeev, V. A.; Dmitrenko, I. A.; Ivanov, V. V.] Univ Alaska Fairbanks, Int Arctic Res Ctr, Fairbanks, AK 99775 USA; [Belchansky, G. I.] Inst Ecol RAN, Moscow, Russia; [Kirillov, S. A.; Korablev, A. A.; Timokhov, L. A.] Arctic &amp; Antarctic Res Inst, St Petersburg 199226, Russia; [Steele, M.] Univ Washington, Appl Phys Lab, Polar Sci Ctr, Seattle, WA 98105 USA; [Yashayaev, I.] Bedford Inst Oceanog, Ocean Sci Div, Ocean Circulat Sect, Dartmouth, NS, Canada</t>
  </si>
  <si>
    <t>University of Alaska System; University of Alaska Fairbanks; Russian Academy of Sciences; Arctic &amp; Antarctic Research Institute; University of Washington; University of Washington Seattle; Fisheries &amp; Oceans Canada; Bedford Institute of Oceanography</t>
  </si>
  <si>
    <t>Polyakov, IV (corresponding author), Univ Alaska Fairbanks, Int Arctic Res Ctr, 930 Koyukuk Dr, Fairbanks, AK 99775 USA.</t>
  </si>
  <si>
    <t>igor@iarc.uaf.edu</t>
  </si>
  <si>
    <t>Ivanov, Vladimir/AAX-6830-2020; Ivanov, Vladimir/J-5979-2014; alexeev, vladimir/B-2234-2010</t>
  </si>
  <si>
    <t>Ivanov, Vladimir/0000-0003-2569-6027; alexeev, vladimir/0000-0003-3519-2797; Steele, Michael/0000-0001-5083-1775; Yashayaev, Igor/0000-0002-6976-7803; Korablev, Alexander/0000-0002-1435-2969; Dmitrenko, Igor/0000-0001-8388-7839</t>
  </si>
  <si>
    <t>AMER METEOROLOGICAL SOC</t>
  </si>
  <si>
    <t>BOSTON</t>
  </si>
  <si>
    <t>45 BEACON ST, BOSTON, MA 02108-3693 USA</t>
  </si>
  <si>
    <t>0894-8755</t>
  </si>
  <si>
    <t>1520-0442</t>
  </si>
  <si>
    <t>J CLIMATE</t>
  </si>
  <si>
    <t>J. Clim.</t>
  </si>
  <si>
    <t>10.1175/2007JCLI1748.1</t>
  </si>
  <si>
    <t>256CF</t>
  </si>
  <si>
    <t>Bronze, Green Accepted</t>
  </si>
  <si>
    <t>WOS:000252704600012</t>
  </si>
  <si>
    <t>Thomas, ER; Marshall, GJ; McConnell, JR</t>
  </si>
  <si>
    <t>Thomas, Elizabeth R.; Marshall, Gareth J.; McConnell, Joseph R.</t>
  </si>
  <si>
    <t>A doubling in snow accumulation in the western Antarctic Peninsula since 1850</t>
  </si>
  <si>
    <t>SOUTHERN-HEMISPHERE; ANNULAR MODE; MASS-BALANCE; ICE-CORE; CLIMATE; PRECIPITATION; VARIABILITY; OSCILLATION; REANALYSES; ERA-40</t>
  </si>
  <si>
    <t>We present results from a new medium depth (136 metres) ice core drilled in a high accumulation site (73.59 degrees S, 70.36 degrees W) on the south-western Antarctic Peninsula during 2007. The Gomez record reveals a doubling of accumulation since the 1850s, from a decadal average of 0.49 m(weq) y(-1) in 1855-1864 to 1.10 m(weq) y(-1) in 1997-2006, with acceleration in recent decades. Comparison with published accumulation records indicates that this rapid increase is the largest observed across the region. Evaluation of the relationships between Gomez accumulation and the primary modes of atmospheric circulation variability reveals a strong, temporally stable and positive relationship with the Southern Annular Mode (SAM). Furthermore, the SAM is demonstrated to be a primary factor in governing decadal variability of accumulation at the core site (r = 0.66). The association between Gomez accumulation and ENSO is complex: while sometimes statistically significant, the relationship is not temporally stable. Thus, at decadal scales we can utilise the Gomez accumulation as a suitable proxy for SAM variability but not for ENSO.</t>
  </si>
  <si>
    <t>[Thomas, Elizabeth R.; Marshall, Gareth J.] British Antarctic Survey, Cambridge CB3 0ET, England; [McConnell, Joseph R.] Desert Res Inst, Reno, NV 89512 USA</t>
  </si>
  <si>
    <t>UK Research &amp; Innovation (UKRI); Natural Environment Research Council (NERC); NERC British Antarctic Survey; Nevada System of Higher Education (NSHE); Desert Research Institute NSHE</t>
  </si>
  <si>
    <t>Thomas, ER (corresponding author), British Antarctic Survey, High Cross Madingley Rd, Cambridge CB3 0ET, England.</t>
  </si>
  <si>
    <t>lith@bas.ac.uk</t>
  </si>
  <si>
    <t>Thomas, Elizabeth Ruth/ADF-3660-2022; Facility, NERC Geophysical Equipment/G-5260-2010</t>
  </si>
  <si>
    <t>Thomas, Elizabeth Ruth/0000-0002-3010-6493;</t>
  </si>
  <si>
    <t>Natural Environment Research Council [NER/G/S/2002/00002, bas010014] Funding Source: researchfish; NERC [bas010014] Funding Source: UKRI</t>
  </si>
  <si>
    <t>JAN 12</t>
  </si>
  <si>
    <t>L01706</t>
  </si>
  <si>
    <t>10.1029/2007GL032529</t>
  </si>
  <si>
    <t>251GU</t>
  </si>
  <si>
    <t>Green Submitted, Bronze</t>
  </si>
  <si>
    <t>WOS:000252362100007</t>
  </si>
  <si>
    <t>Giles, AB; Massom, RA; Lytle, VI</t>
  </si>
  <si>
    <t>Giles, A. Barry; Massom, Robert A.; Lytle, Victoria I.</t>
  </si>
  <si>
    <t>Fast-ice distribution in East Antarctica during 1997 and 1999 determined using RADARSAT data</t>
  </si>
  <si>
    <t>JOURNAL OF GEOPHYSICAL RESEARCH-OCEANS</t>
  </si>
  <si>
    <t>MERTZ GLACIER POLYNYA; SEA-ICE; HEAT-FLUX; BEHAVIOR; SNOW</t>
  </si>
  <si>
    <t>We present the first detailed maps of fast ice around East Antarctica (75 degrees E-170 degrees E), using an image correlation technique applied to RADARSAT ScanSAR images from November in 1997 and 1999. This method is based upon searching for, and distinguishing, correlated regions of the ice-covered ocean which remain stationary, in contrast to adjacent moving pack ice. Within the overlapping longitudinal range of similar to 86 degrees E-150.6 degrees E, the total fast-ice area is 141,450 km(2) in 1997 and 152,216 km(2) in 1999. Calibrated radar backscatter data are also used to determine the distribution of two fast-ice classes based on their surface roughness characteristics. These are smooth'' fast ice (-25.4 dB to-13.5 dB) and rough'' fast ice (-13.5 dB to-2.5 dB). The former comprises similar to 67% of the total area, with rough fast ice making up the remaining similar to 33%. An estimate is made of fast-ice volume, on the basis of fast-ice type as a proxy measure of ice thickness and area. Results suggest that although fast ice forms 2-16% of the total November sea ice area for this sector of East Antarctica in 1997 and 1999 (average 8.3% across maps), it may comprise 6-57% of the total ice volume (average similar to 28% across maps). Grounded icebergs play a key role in fast-ice distribution in all regions apart from 150 degrees E-170 degrees E. These are snapshot'' estimates only, and more work is required to determine longer-term spatiotemporal variability.</t>
  </si>
  <si>
    <t>[Giles, A. Barry; Massom, Robert A.] Univ Tasmania, Antarctic Climate &amp; Ecosyst Cooperat Res Ctr, Hobart, Tas 7001, Australia; [Giles, A. Barry] Spurion Technol Pty Ltd, Mt Rumney, Tas, Australia; [Massom, Robert A.] Australian Antarctic Div, Kingston, Tas, Australia; [Lytle, Victoria I.] Norwegian Polar Res Inst, Polar Environm Ctr, N-9296 Tromso, Norway</t>
  </si>
  <si>
    <t>University of Tasmania; Antarctic Climate &amp; Ecosystems Cooperative Research Centre (ACE CRC); Australian Antarctic Division; Norwegian Polar Institute</t>
  </si>
  <si>
    <t>Giles, AB (corresponding author), Univ Tasmania, Antarctic Climate &amp; Ecosyst Cooperat Res Ctr, Private Bag 80, Hobart, Tas 7001, Australia.</t>
  </si>
  <si>
    <t>barry.giles@utas.edu.au; r.massom@utas.edu.au; vicky@npolar.no</t>
  </si>
  <si>
    <t>Massom, Robert/0000-0003-1533-5084</t>
  </si>
  <si>
    <t>2169-9275</t>
  </si>
  <si>
    <t>2169-9291</t>
  </si>
  <si>
    <t>J GEOPHYS RES-OCEANS</t>
  </si>
  <si>
    <t>J. Geophys. Res.-Oceans</t>
  </si>
  <si>
    <t>C2</t>
  </si>
  <si>
    <t>C02S14</t>
  </si>
  <si>
    <t>10.1029/2007JC004139</t>
  </si>
  <si>
    <t>Oceanography</t>
  </si>
  <si>
    <t>251HS</t>
  </si>
  <si>
    <t>Green Accepted, Green Published, hybrid</t>
  </si>
  <si>
    <t>WOS:000252364600001</t>
  </si>
  <si>
    <t>Swart, NC; Ansorge, IJ; Lutjeharms, JRE</t>
  </si>
  <si>
    <t>Swart, Neil C.; Ansorge, Isabelle J.; Lutjeharms, Johann R. E.</t>
  </si>
  <si>
    <t>Detailed characterization of a cold Antarctic eddy</t>
  </si>
  <si>
    <t>PRINCE-EDWARD-ISLANDS; SOUTHERN-OCEAN; CIRCUMPOLAR CURRENT; CYCLONIC RING; SUBTROPICAL-CONVERGENCE; HEAT; CIRCULATION; WATER; EDDIES; ENVIRONMENT</t>
  </si>
  <si>
    <t>Eddy formation in the Southern Ocean plays a critical role in meridional exchanges of heat and salt. It has also been shown to have a significant impact on primary productivity and on the creation of preferred feeding regions for birds and other predators. This eddy formation is not geographically uniform, but is concentrated in certain specific regions, particularly where the Antarctic Circumpolar Current crosses shallow bathymetry. One such region is at the South-West Indian Ridge where eddies are formed that subsequently drift past the Prince Edward Islands. We have studied such an eddy in detail. It was at least 1000 m deep, had a radius of 60-90 km, a heat content of 5.40 x 10(19) J and rotated at a rate of 1 revolution every 5 days. Altimetric observations show that it was formed at 51 degrees S; 32 degrees E and that its intensity - as expressed as its sea level anomaly - declined by similar to 40% of the original value within 144 days. This relatively rapid dissipation suggests that these eddies do not have a lifetime of more than 14 months. During that period they will have carried their anomalous heat and salt content about 1.5 degrees of latitude.</t>
  </si>
  <si>
    <t>[Swart, Neil C.; Ansorge, Isabelle J.; Lutjeharms, Johann R. E.] Univ Cape Town, Dept Oceanog, ZA-7700 Rondebosch, South Africa</t>
  </si>
  <si>
    <t>University of Cape Town</t>
  </si>
  <si>
    <t>Swart, NC (corresponding author), Univ Cape Town, Dept Oceanog, ZA-7700 Rondebosch, South Africa.</t>
  </si>
  <si>
    <t>neil.swart@uct.ac.za</t>
  </si>
  <si>
    <t>ANSORGE, ISABELLE/AAY-7396-2020; Swart, Neil/Q-6608-2019</t>
  </si>
  <si>
    <t>Swart, Neil/0000-0002-8200-6187; Ansorge, Isabelle/0000-0001-7071-8147</t>
  </si>
  <si>
    <t>C1</t>
  </si>
  <si>
    <t>C01009</t>
  </si>
  <si>
    <t>10.1029/2007JC004190</t>
  </si>
  <si>
    <t>251HO</t>
  </si>
  <si>
    <t>hybrid</t>
  </si>
  <si>
    <t>WOS:000252364200003</t>
  </si>
  <si>
    <t>Palinkas, LA; Suedfeld, P</t>
  </si>
  <si>
    <t>Palinkas, Lawrence A.; Suedfeld, Peter</t>
  </si>
  <si>
    <t>Psychological effects of polar expeditions</t>
  </si>
  <si>
    <t>LANCET</t>
  </si>
  <si>
    <t>SEASONAL AFFECTIVE-DISORDER; PROLONGED ANTARCTIC RESIDENCE; EXTREME ENVIRONMENTS; PERSONALITY-CHARACTERISTICS; CIRCADIAN-RHYTHMS; SLEEP PATTERNS; PERFORMANCE; WINTER; BEHAVIOR; ADJUSTMENT</t>
  </si>
  <si>
    <t>Polar expeditions include treks and stays at summer camps or year-round research stations. People on such expeditions generally undergo psychological changes resulting from exposure to long periods of isolation and confinement, and the extreme physical environment. Symptoms include disturbed sleep, impaired cognitive ability, negative affect, and interpersonal tension and conflict. Seasonal occurrence of these symptoms suggests the existence of three overlapping syndromes: the winter-over syndrome, the polar T3 syndrome, and subsyndromal seasonal affective disorder. About 5% of people on expeditions meet DSM-lV or ICD criteria for psychiatric disorders. However, they also experience positive or so-called salutogenic outcomes resulting from successfully coping with stress and enhanced self-sufficiency, improved health, and personal growth. Prevention of pathogenic psychological outcomes is best accomplished by psychological and psychiatric screening procedures to select out unsuitable candidates, and by providing access to psychological support, including telephone counselling. Promotion of salutogenic experiences is best accomplished by screening for suitable personality traits, and training participants in individual coping strategies, group interaction, and team leadership.</t>
  </si>
  <si>
    <t>[Palinkas, Lawrence A.] Univ So Calif, Sch Social Work, Los Angeles, CA 90089 USA; [Suedfeld, Peter] Univ British Columbia, Dept Psychol, Vancouver, BC V6T 1Z4, Canada</t>
  </si>
  <si>
    <t>University of Southern California; University of British Columbia</t>
  </si>
  <si>
    <t>Palinkas, LA (corresponding author), Univ So Calif, Sch Social Work, Los Angeles, CA 90089 USA.</t>
  </si>
  <si>
    <t>palinkas@usc.edu</t>
  </si>
  <si>
    <t>ELSEVIER SCIENCE INC</t>
  </si>
  <si>
    <t>NEW YORK</t>
  </si>
  <si>
    <t>STE 800, 230 PARK AVE, NEW YORK, NY 10169 USA</t>
  </si>
  <si>
    <t>0140-6736</t>
  </si>
  <si>
    <t>1474-547X</t>
  </si>
  <si>
    <t>Lancet</t>
  </si>
  <si>
    <t>10.1016/S0140-6736(07)61056-3</t>
  </si>
  <si>
    <t>Medicine, General &amp; Internal</t>
  </si>
  <si>
    <t>Science Citation Index Expanded (SCI-EXPANDED); Social Science Citation Index (SSCI)</t>
  </si>
  <si>
    <t>General &amp; Internal Medicine</t>
  </si>
  <si>
    <t>252ND</t>
  </si>
  <si>
    <t>WOS:000252452300030</t>
  </si>
  <si>
    <t>Ananthaswamy, A</t>
  </si>
  <si>
    <t>Ananthaswamy, Anil</t>
  </si>
  <si>
    <t>Antarctic power game yields surprise winner</t>
  </si>
  <si>
    <t>NEW SCIENTIST</t>
  </si>
  <si>
    <t>REED BUSINESS INFORMATION LTD</t>
  </si>
  <si>
    <t>SUTTON</t>
  </si>
  <si>
    <t>QUADRANT HOUSE THE QUADRANT, SUTTON SM2 5AS, SURREY, ENGLAND</t>
  </si>
  <si>
    <t>0262-4079</t>
  </si>
  <si>
    <t>NEW SCI</t>
  </si>
  <si>
    <t>New Sci.</t>
  </si>
  <si>
    <t>10.1016/S0262-4079(08)60085-8</t>
  </si>
  <si>
    <t>Multidisciplinary Sciences</t>
  </si>
  <si>
    <t>Science &amp; Technology - Other Topics</t>
  </si>
  <si>
    <t>250EF</t>
  </si>
  <si>
    <t>WOS:000252282100013</t>
  </si>
  <si>
    <t>Kerr, RA</t>
  </si>
  <si>
    <t>Kerr, Richard A.</t>
  </si>
  <si>
    <t>Paleoclimate - More climate wackiness in the Cretaceous supergreenhouse?</t>
  </si>
  <si>
    <t>SCIENCE</t>
  </si>
  <si>
    <t>News Item</t>
  </si>
  <si>
    <t>Paleoceanographers present new data that make a case for ice during the Cretaceous period. Paleoceanographer Andre Bornemann of Leipzig University in Germany and his colleagues analyzed apparently unaltered Foraminifera collected from Demerara Rise beneath the western equatorial Atlantic. Following a classic technique, the researchers measured oxygen isotopes in the forams' shells. They found a sharp shift toward the heavier oxygen-18 isotope in both surface and bottom-dwelling forams from 91.2 million years ago. The researchers conclude that an ice sheet existed then with at least half the volume of the modern Antarctic ice sheet. Whenever water leaves the ocean to fall as snow, water molecules containing the lighter oxygen-16 isotope evaporate more readily, leaving more of the heavier oxygen-18 behind in seawater for forams to take up.</t>
  </si>
  <si>
    <t>AMER ASSOC ADVANCEMENT SCIENCE</t>
  </si>
  <si>
    <t>1200 NEW YORK AVE, NW, WASHINGTON, DC 20005 USA</t>
  </si>
  <si>
    <t>0036-8075</t>
  </si>
  <si>
    <t>Science</t>
  </si>
  <si>
    <t>JAN 11</t>
  </si>
  <si>
    <t>249RC</t>
  </si>
  <si>
    <t>WOS:000252246400005</t>
  </si>
  <si>
    <t>Bornemann, A; Norris, RD; Friedrich, O; Beckmann, B; Schouten, S; Damsté, JSS; Vogel, J; Hofmann, P; Wagner, T</t>
  </si>
  <si>
    <t>Bornemann, Andre; Norris, Richard D.; Friedrich, Oliver; Beckmann, Britta; Schouten, Stefan; Damste, Jaap S. Sinninghe; Vogel, Jennifer; Hofmann, Peter; Wagner, Thomas</t>
  </si>
  <si>
    <t>Isotopic evidence for glaciation during the Cretaceous supergreenhouse</t>
  </si>
  <si>
    <t>RECORD; TEMPERATURES; CALCITE; WESTERN; CURVE</t>
  </si>
  <si>
    <t>The Turonian ( 93.5 to 89.3 million years ago) was one of the warmest periods of the Phanerozoic eon, with tropical sea surface temperatures over 35 degrees C. High- amplitude sea- level changes and positive delta O-18 excursions in marine limestones suggest that glaciation events may have punctuated this episode of extreme warmth. New delta O-18 data from the tropical Atlantic show synchronous shifts similar to 91.2 million years ago for both the surface and deep ocean that are consistent with an approximately 200,000- year period of glaciation, with ice sheets of about half the size of the modern Antarctic ice cap. Even the prevailing supergreenhouse climate was not a barrier to the formation of large ice sheets, calling into question the common assumption that the poles were always ice- free during past periods of intense global warming.</t>
  </si>
  <si>
    <t>[Bornemann, Andre; Norris, Richard D.; Friedrich, Oliver; Vogel, Jennifer] Univ Calif San Diego, Scripps Inst Oceanog, Geosci Res Div, La Jolla, CA 92093 USA; [Bornemann, Andre] Univ Leipzig, Inst Geophys &amp; Geol, D-04103 Leipzig, Germany; [Friedrich, Oliver] Natl Ocean Ctr, Sch Ocean &amp; Earth Sci, Southampton SO14 3ZH, Hants, England; [Beckmann, Britta; Hofmann, Peter] Univ Cologne, Inst Geol &amp; Mineral, D-50674 Cologne, Germany; [Schouten, Stefan; Damste, Jaap S. Sinninghe] Netherlands Inst Sea Res, Dept Marine Biogeochem &amp; Toxicol, NL-1790 AB Den Burg, Netherlands; [Wagner, Thomas] Univ Newcastle, Sch Civil Engn &amp; Geosci, Newcastle Upon Tyne NE1 7RU, Tyne &amp; Wear, England</t>
  </si>
  <si>
    <t>University of California System; University of California San Diego; Scripps Institution of Oceanography; Leipzig University; NERC National Oceanography Centre; University of Cologne; Utrecht University; Royal Netherlands Institute for Sea Research (NIOZ); Newcastle University - UK</t>
  </si>
  <si>
    <t>Bornemann, A (corresponding author), Univ Calif San Diego, Scripps Inst Oceanog, Geosci Res Div, 9500 Gilman Dr, La Jolla, CA 92093 USA.</t>
  </si>
  <si>
    <t>a.bornemann@uni-leipzig.de</t>
  </si>
  <si>
    <t>Wagner, Thomas/F-8734-2011; Bornemann, André/A-4145-2009; Bornemann, André/N-7239-2019; Sinninghe Damste, Jaap/F-6128-2011</t>
  </si>
  <si>
    <t>Bornemann, André/0000-0003-4341-2366; Bornemann, André/0000-0003-4341-2366; Sinninghe Damste, Jaap/0000-0002-8683-1854; Wagner, Thomas/0000-0001-5006-625X; Hofmann, Peter/0000-0002-9796-0352</t>
  </si>
  <si>
    <t>1095-9203</t>
  </si>
  <si>
    <t>10.1126/science.1148777</t>
  </si>
  <si>
    <t>WOS:000252246400037</t>
  </si>
  <si>
    <t>Cassar, N; Bender, ML; Barnett, BA; Fan, SM; Moxim, WJ; Levy, H; Tilbrook, B</t>
  </si>
  <si>
    <t>Cassar, Nicolas; Bender, Michael L.; Barnett, Bruce A.; Fan, Songmiao; Moxim, Walter J.; Levy, Hiram, II; Tilbrook, Bronte</t>
  </si>
  <si>
    <t>Response to comment on the Southern Ocean biological response to aeolian iron deposition</t>
  </si>
  <si>
    <t>PACIFIC SECTOR; DISSOLVED FE; PHYTOPLANKTON; WATERS; PRODUCTIVITY; MANGANESE</t>
  </si>
  <si>
    <t>[Cassar, Nicolas; Bender, Michael L.; Barnett, Bruce A.] Princeton Univ, Dept Geosci, Princeton, NJ 08544 USA; [Fan, Songmiao; Moxim, Walter J.; Levy, Hiram, II] NOAA, Geophys Fluid Dynam Lab, Princeton, NJ 08542 USA; [Tilbrook, Bronte] CSIRO, Antarctic Climate &amp; Ecosyst Cooperat Res Ctr, Hobart, Tas 7001, Australia</t>
  </si>
  <si>
    <t>Princeton University; National Oceanic Atmospheric Admin (NOAA) - USA; Antarctic Climate &amp; Ecosystems Cooperative Research Centre (ACE CRC); Commonwealth Scientific &amp; Industrial Research Organisation (CSIRO)</t>
  </si>
  <si>
    <t>Cassar, N (corresponding author), Princeton Univ, Dept Geosci, Princeton, NJ 08544 USA.</t>
  </si>
  <si>
    <t>ncassar@princeton.edu</t>
  </si>
  <si>
    <t>Tilbrook, Bronte/W-4007-2019; Fan, Song-Miao/A-8004-2008; Cassar, Nicolas/B-4260-2011</t>
  </si>
  <si>
    <t>Tilbrook, Bronte/0000-0001-9385-3827; Fan, Song-Miao/0000-0001-8352-8035; Cassar, Nicolas/0000-0003-0100-3783</t>
  </si>
  <si>
    <t>10.1126/science.1150011</t>
  </si>
  <si>
    <t>WOS:000252246400021</t>
  </si>
  <si>
    <t>Géli, L; Lee, TC; Cochran, JR; Francheteau, J; Abbott, D; Labails, C; Appriou, D</t>
  </si>
  <si>
    <t>Geli, L.; Lee, T. C.; Cochran, J. R.; Francheteau, J.; Abbott, D.; Labails, C.; Appriou, D.</t>
  </si>
  <si>
    <t>Heat flow from the Southeast Indian Ridge flanks between 80°E and 140°E:: Data review and analysis</t>
  </si>
  <si>
    <t>JOURNAL OF GEOPHYSICAL RESEARCH-SOLID EARTH</t>
  </si>
  <si>
    <t>AUSTRALIAN-ANTARCTIC DISCORDANCE; OCEANIC-CRUST; CONSTRAINTS; DEEP; PERMEABILITY; TEMPERATURE; CONVECTION; EVOLUTION; ALTIMETRY; SEDIMENTS</t>
  </si>
  <si>
    <t>We analyze available heat flow data from the flanks of the Southeast Indian Ridge adjacent to or within the Australian-Antarctic Discordance (AAD), an area with patchy sediment cover and highly fractured seafloor as dissected by ridge- and fracture-parallel faults. The data set includes 23 new data points collected along a 14-Ma old isochron and 19 existing measurements from the 20- to 24-Ma old crust. Most sites of measurements exhibit low heat flux (from 2 to 50 mW m(-2)) with near-linear temperature-depth profiles except at a few sites, where recent bottom water temperature change may have caused nonlinearity toward the sediment surface. Because the igneous basement is expected to outcrop a short distance away from any measurement site, we hypothesize that horizontally channelized water circulation within the uppermost crust is the primary process for the widespread low heat flow values. The process may be further influenced by vertical fluid flow along numerous fault zones that crisscross the AAD seafloor. Systematic measurements along and across the fault zones of interest as well as seismic profiling for sediment distribution are required to confirm this possible, suspected effect.</t>
  </si>
  <si>
    <t>[Geli, L.; Labails, C.; Appriou, D.] IFREMER, Marine Geosci Dept, F-29280 Plouzane, France; [Lee, T. C.] Univ Calif Riverside, Dept Earth Sci, Riverside, CA 92521 USA; [Cochran, J. R.; Abbott, D.] Columbia Univ, Lamont Doherty Geol Observ, Palisades, NY 10964 USA; [Francheteau, J.] Inst Univ European De La Mer, F-29280 Plouzane, France</t>
  </si>
  <si>
    <t>Ifremer; University of California System; University of California Riverside; Columbia University</t>
  </si>
  <si>
    <t>Géli, L (corresponding author), IFREMER, Marine Geosci Dept, BP 70, F-29280 Plouzane, France.</t>
  </si>
  <si>
    <t>louis.geli@ifremer.fr</t>
  </si>
  <si>
    <t>; Appriou, Delphine/X-1115-2018</t>
  </si>
  <si>
    <t>Geli, Louis/0000-0001-7049-4577; Abbott, Dallas/0000-0003-4713-6098; Appriou, Delphine/0000-0001-9283-0578</t>
  </si>
  <si>
    <t>2169-9313</t>
  </si>
  <si>
    <t>2169-9356</t>
  </si>
  <si>
    <t>J GEOPHYS RES-SOL EA</t>
  </si>
  <si>
    <t>J. Geophys. Res.-Solid Earth</t>
  </si>
  <si>
    <t>JAN 5</t>
  </si>
  <si>
    <t>B1</t>
  </si>
  <si>
    <t>B01101</t>
  </si>
  <si>
    <t>10.1029/2007JB005001</t>
  </si>
  <si>
    <t>248VA</t>
  </si>
  <si>
    <t>WOS:000252183900001</t>
  </si>
  <si>
    <t>Jacobs, J; Pisarevsky, S; Thomas, RJ; Beckere, T</t>
  </si>
  <si>
    <t>Jacobs, J.; Pisarevsky, S.; Thomas, R. J.; Beckere, T.</t>
  </si>
  <si>
    <t>The Kalahari Craton during the assembly and dispersal of Rodinia</t>
  </si>
  <si>
    <t>PRECAMBRIAN RESEARCH</t>
  </si>
  <si>
    <t>Kalahari Craton; Rodinia; palaeomagnetism; supercontinent</t>
  </si>
  <si>
    <t>DRONNING MAUD LAND; PROTEROZOIC CRUSTAL EVOLUTION; GRENVILLE-AGE METAMORPHISM; ZAMBEZI OROGENIC BELT; LIMPOPO MOBILE BELT; U-PB GEOCHRONOLOGY; NAMAQUA-NATAL BELT; EAST ANTARCTICA; SOUTHERN-AFRICA; TECTONIC EVOLUTION</t>
  </si>
  <si>
    <t>In this paper, we review the dimensions, geometry and architecture of the components of the Kalahari Craton and the various positions this important crustal block could have occupied within Rodinia. The Kalahari Craton was spawned from a small composite Archaean core which grew by prolonged crustal accretion in the Palaeoproterozoic along its NW side (Magondi-Okwa-Kheis Belt, Rehoboth Subprovince) to form the Proto-Kalahari Craton by 1750 Ma. From ca. 1400 to 1000 Ma, all margins of this crustal entity recorded intense tectonic activity: the NW margin was a major active continental margin between ca. 1400 and 120OMa and along the southern and eastern margins, the Namaqua-Natal-Maud-Mozambique Belt records a major arc-accretion and continent-collision event between ca. 1100 and 1050 Ma. By ca. 1050 Ma, the Proto-Kalahari nucleus was almost completely rimmed by voluminous Mesoproterozoic crust and became a larger entity, the Kalahari Craton. Apart from southern Africa, fragments of the Kalahari Craton are now exposed in East- and West-Antarctica, the Falkland Islands and possibly also in South America. Immediately prior to the onset of arc- and continent-continent collision along the Namaqua-Natal-Maud Belt (part of the widespread Grenville-age orogeny during which Rodinia was assembled), Kalahari was subjected to intraplate magmatism - the Umkondo-Borg Large Igneous Province - at ca. I 110 Ma. The post-Rodinia rift and drift history of the Kalahari Craton is best preserved along the western, south-western and north-western margin, where rift sediments and volcanics indicate rifting and break-up at ca. 800-750 Ma. The position of the Kalahari Craton in Rodinia is problematic, and there is no unique solution for its placement in the supercontinent. One set of models has the Kalahari Craton lying along the SW side of Laurentia with the Namaqua-Natal-Maud Belt facing either inboard (correlation with the Ottawan cycle of the Grenville orogen) or outboard (mainly for palaeomagnetic reasons). In this arrangement the relatively late rift history and the subsequent incorporation of Kalahari into Gondwana is problematic. Alternatively, Kalahari could have been attached to Western Australia. In this model the Namaqua-Natal-Maud Belt has no counterpart and, although the timing of rifting at ca. 750 Ma fits, the location of rifting is problematic-the Kalahari Craton would have had to undergo major rifting along its eastern, rather than its western side, which is not consistent with overservations. So the matter is as yet unresolved, and much of the evidence of rifting along the eastern side of the Kalahari Craton was obliterated due to high-grade overprint along the Late Neoproterozoic/Early Palaeozoic East African-Antarctic Orogen. (c) 2007 Elsevier B.V. All rights reserved.</t>
  </si>
  <si>
    <t>[Jacobs, J.] Univ Bergen, Dept Earth Sci, N-5007 Bergen, Norway; [Pisarevsky, S.] Univ Western Australia, Tecton Special Res Ctr, Crawley, WA 6009, Australia; [Pisarevsky, S.] Univ Edinburgh, Grant Inst Geol, Sch Geosci, Edinburgh EH9 3JW, Midlothian, Scotland; [Thomas, R. J.] British Geol Survey, Nottingham NG12 5GG, England; [Beckere, T.] Bur Rech Geol &amp; Minieres, F-45060 Orleans 2, France</t>
  </si>
  <si>
    <t>University of Bergen; University of Western Australia; University of Edinburgh; UK Research &amp; Innovation (UKRI); Natural Environment Research Council (NERC); NERC British Geological Survey; Bureau de Recherches Geologiques et Minieres (BRGM)</t>
  </si>
  <si>
    <t>Jacobs, J (corresponding author), Univ Bergen, Dept Earth Sci, Allegaten 41, N-5007 Bergen, Norway.</t>
  </si>
  <si>
    <t>joachim.jacobs@geo.uib.no</t>
  </si>
  <si>
    <t>Pisarevsky, Sergei/T-2882-2019; Pisarevsky, Sergei/K-8845-2012</t>
  </si>
  <si>
    <t>Pisarevskiy, Sergei/0000-0002-8033-5630</t>
  </si>
  <si>
    <t>Natural Environment Research Council [bgs04002] Funding Source: researchfish; NERC [bgs04002] Funding Source: UKRI</t>
  </si>
  <si>
    <t>0301-9268</t>
  </si>
  <si>
    <t>1872-7433</t>
  </si>
  <si>
    <t>PRECAMBRIAN RES</t>
  </si>
  <si>
    <t>Precambrian Res.</t>
  </si>
  <si>
    <t>10.1016/j.precamres.2007.04.022</t>
  </si>
  <si>
    <t>267OH</t>
  </si>
  <si>
    <t>WOS:000253517900010</t>
  </si>
  <si>
    <t>Ruiz, O; Amat, F; Navarro, JC</t>
  </si>
  <si>
    <t>Ruiz, O.; Amat, F.; Navarro, J. C.</t>
  </si>
  <si>
    <t>A comparative study of the fatty acid profile of Artemia franciseana and A. persimilis cultured at mesocosm scale</t>
  </si>
  <si>
    <t>JOURNAL OF EXPERIMENTAL MARINE BIOLOGY AND ECOLOGY</t>
  </si>
  <si>
    <t>Artemia franciscana; Artemia persimilis; fatty acids; mesocosm</t>
  </si>
  <si>
    <t>BRINE SHRIMP; CALANUS-PROPINQUUS; ANTARCTIC COPEPODS; CALANOIDES-ACUTUS; BRANCHIOPODA; TEMPERATURE; COMPETITION; DIVERSITY; SALINITY; QUALITY</t>
  </si>
  <si>
    <t>The goal of this study was to examine the fatty acid (FA) profile of two Artemia species, A. persimilis (Argentina) and A. franciscana (Great Salt Lake,Utah; USA) in coexistence at mesocosm scale. The experiment was carried out to 1) evaluate putative differences in the fatty acid composition of both species while they share resources and 2) to investigate the causes of such differences. Although the coexistence of these species in nature has not yet been observed, it remains possible that this situation may arise in the future mainly due to the invasive ability of A. franciscana. FA analyses were performed on individuals as well as on pooled biomasses of each species, and integrated in multivariate principal components analysis (PCA). Comparison of the relative abundance of FA between the two species revealed that interspecific differences in FA composition are greater than intraspecific variability. Higher percentages of unsaturation were found in the fatty acids of A. persimilis compared to A. franciscana, demonstrating that aside from a high phenotypic effect of diet on the FA composition of the animals, a species-specific genotypic effect should not be discarded. (C) 2007 Elsevier B.V. All rights reserved.</t>
  </si>
  <si>
    <t>[Ruiz, O.; Amat, F.; Navarro, J. C.] CSIC, Inst Acuicultura Torre Sal, Castellon de La Plana, Spain</t>
  </si>
  <si>
    <t>Consejo Superior de Investigaciones Cientificas (CSIC); CSIC - Instituto de Acuicultura de Torre de la Sal (IATS)</t>
  </si>
  <si>
    <t>Ruiz, O (corresponding author), CSIC, Inst Acuicultura Torre Sal, 12595 Ribera Cabanes, Castellon de La Plana, Spain.</t>
  </si>
  <si>
    <t>olga@iats.csic.es</t>
  </si>
  <si>
    <t>Navarro, Juan C./E-3046-2016</t>
  </si>
  <si>
    <t>Navarro, Juan C./0000-0001-6976-6686</t>
  </si>
  <si>
    <t>0022-0981</t>
  </si>
  <si>
    <t>1879-1697</t>
  </si>
  <si>
    <t>J EXP MAR BIOL ECOL</t>
  </si>
  <si>
    <t>J. Exp. Mar. Biol. Ecol.</t>
  </si>
  <si>
    <t>JAN 4</t>
  </si>
  <si>
    <t>10.1016/j.jembe.2007.09.015</t>
  </si>
  <si>
    <t>Ecology; Marine &amp; Freshwater Biology</t>
  </si>
  <si>
    <t>Environmental Sciences &amp; Ecology; Marine &amp; Freshwater Biology</t>
  </si>
  <si>
    <t>254PQ</t>
  </si>
  <si>
    <t>WOS:000252599600002</t>
  </si>
  <si>
    <t>Matsuno, S</t>
  </si>
  <si>
    <t>Matsuno, Shige</t>
  </si>
  <si>
    <t>ANITA Collaboration</t>
  </si>
  <si>
    <t>ANITA Experiment</t>
  </si>
  <si>
    <t>JOURNAL OF THE PHYSICAL SOCIETY OF JAPAN</t>
  </si>
  <si>
    <t>ANITA experiment is a balloon born experiment aiming to observe GZK neutrinos through cascade showers they generate. A detector of 36 antennas will be flown to detect radio Cerenkov pulse from these cascade. Antarctic ice sheet is used as an intended target of the neutrinos, for its availability in vast quantity and excellent radio transparency. The motivation and feasibility of using radio Cerenkov radiation to observe very high energy neutrinos will be discussed, along with the basic concept and the current status of the experiment.</t>
  </si>
  <si>
    <t>[Matsuno, Shige; ANITA Collaboration] Univ Hawaii, Dept Phys &amp; Astron, Honolulu, HI 96822 USA</t>
  </si>
  <si>
    <t>University of Hawaii System</t>
  </si>
  <si>
    <t>Matsuno, S (corresponding author), Univ Hawaii, Dept Phys &amp; Astron, Honolulu, HI 96822 USA.</t>
  </si>
  <si>
    <t>shige@phys.hawaii.edu</t>
  </si>
  <si>
    <t>PHYSICAL SOC JAPAN</t>
  </si>
  <si>
    <t>TOKYO</t>
  </si>
  <si>
    <t>YUSHIMA URBAN BUILDING 5F, 2-31-22 YUSHIMA, BUNKYO-KU, TOKYO, 113-0034, JAPAN</t>
  </si>
  <si>
    <t>0031-9015</t>
  </si>
  <si>
    <t>J PHYS SOC JPN</t>
  </si>
  <si>
    <t>J. Phys. Soc. Jpn.</t>
  </si>
  <si>
    <t>JAN 2</t>
  </si>
  <si>
    <t>B</t>
  </si>
  <si>
    <t>10.1143/JPSJS.77SB.79</t>
  </si>
  <si>
    <t>Physics, Multidisciplinary</t>
  </si>
  <si>
    <t>Physics</t>
  </si>
  <si>
    <t>VK4OC</t>
  </si>
  <si>
    <t>WOS:000701397700019</t>
  </si>
  <si>
    <t>C</t>
  </si>
  <si>
    <t>Kouznetsov, RD</t>
  </si>
  <si>
    <t>Mann, J; Bingol, F; Courtney, M; Jorgensen, HE; Lindelow, P; Mikkelsen, T; Pena, A; Sjoholm, M; Wagner, R</t>
  </si>
  <si>
    <t>Kouznetsov, Rostislav D.</t>
  </si>
  <si>
    <t>The structure of the lower ABL over Antarctic oasis during the summer</t>
  </si>
  <si>
    <t>14TH INTERNATIONAL SYMPOSIUM FOR THE ADVANCEMENT OF BOUNDARY LAYER REMOTE SENSING</t>
  </si>
  <si>
    <t>IOP Conference Series Earth and Environmental Science</t>
  </si>
  <si>
    <t>Proceedings Paper</t>
  </si>
  <si>
    <t>14th International Symposium for the Advancement of Boundary Layer Remote Sensing</t>
  </si>
  <si>
    <t>JUN 23-25, 2008</t>
  </si>
  <si>
    <t>Tech Univ Denmark, Copenhagen, DENMARK</t>
  </si>
  <si>
    <t>Tech Univ Denmark</t>
  </si>
  <si>
    <t>The vertical Doppler sodar has been operated during summer 2006-2007 at the Russian Antarctic station Novolazarevskaya at Schirmacher oasis. The typical structures of the ABL over the oasis are classified. Sodar echogrammes reveal wavy structures in the ABL, caused by local orography.</t>
  </si>
  <si>
    <t>Obukhov Inst Atmospher Phys, Moscow 119017, Russia</t>
  </si>
  <si>
    <t>Russian Academy of Sciences; Obukhov Institute of Atmospheric Physics of Russian Academy of Sciences</t>
  </si>
  <si>
    <t>Kouznetsov, RD (corresponding author), Obukhov Inst Atmospher Phys, Pyzhevskii Per 3, Moscow 119017, Russia.</t>
  </si>
  <si>
    <t>Kouznetsov, Rostislav/ABD-3737-2020</t>
  </si>
  <si>
    <t>Kouznetsov, Rostislav/0000-0001-5140-0037</t>
  </si>
  <si>
    <t>IOP PUBLISHING LTD</t>
  </si>
  <si>
    <t>BRISTOL</t>
  </si>
  <si>
    <t>DIRAC HOUSE, TEMPLE BACK, BRISTOL BS1 6BE, ENGLAND</t>
  </si>
  <si>
    <t>1755-1307</t>
  </si>
  <si>
    <t>IOP C SER EARTH ENV</t>
  </si>
  <si>
    <t>U299</t>
  </si>
  <si>
    <t>U302</t>
  </si>
  <si>
    <t>Instruments &amp; Instrumentation; Remote Sensing</t>
  </si>
  <si>
    <t>Conference Proceedings Citation Index - Science (CPCI-S)</t>
  </si>
  <si>
    <t>BHW10</t>
  </si>
  <si>
    <t>WOS:000256952700035</t>
  </si>
  <si>
    <t>Ma, FH; E, DC; Mou, NX; Sun, CY</t>
  </si>
  <si>
    <t>IEEE</t>
  </si>
  <si>
    <t>Ma, Feihu; E, Dongchen; Mou, Naixia; Sun, Cuiyu</t>
  </si>
  <si>
    <t>Design and Implementation of the Chinese Polar Spatial Data of Surveying and Mapping Management System</t>
  </si>
  <si>
    <t>2008 4TH INTERNATIONAL CONFERENCE ON WIRELESS COMMUNICATIONS, NETWORKING AND MOBILE COMPUTING, VOLS 1-31</t>
  </si>
  <si>
    <t>International Conference on Wireless Communications Networking and Mobile Computing-WiCOM</t>
  </si>
  <si>
    <t>4th International Conference on Wireless Communications, Networking and Mobile Computing</t>
  </si>
  <si>
    <t>OCT 12-17, 2008</t>
  </si>
  <si>
    <t>Dalian, PEOPLES R CHINA</t>
  </si>
  <si>
    <t>Polar; spatial data of surveying and mapping; metadata; metadata Standard; management system</t>
  </si>
  <si>
    <t>In this paper, different classes and properties of the Chinese polar spatial data of surveying and mapping have been analyzed and the metadata and its management system have been designed by referring some popular metadata standards such as ISO/TC211, FGDC, and China Sustainable Development Sharing Information Metadata Standard. On the basis of it, a method of data organization and management has been provided and the database of the Chinese polar spatial data of surveying and mapping is established.</t>
  </si>
  <si>
    <t>[Ma, Feihu; E, Dongchen] Wuhan Univ, Chinese Antarctic Ctr Surveying &amp; Mapping SGG, Wuhan 430072, Peoples R China; [Mou, Naixia; Sun, Cuiyu] Shandong Univ Sci &amp; Technol, Geomat Coll, Qingdao, Peoples R China</t>
  </si>
  <si>
    <t>Wuhan University; Shandong University of Science &amp; Technology</t>
  </si>
  <si>
    <t>Ma, FH (corresponding author), Wuhan Univ, Chinese Antarctic Ctr Surveying &amp; Mapping SGG, Wuhan 430072, Peoples R China.</t>
  </si>
  <si>
    <t>mfh@whu.edu.cn</t>
  </si>
  <si>
    <t>MOU, Naixia/AAA-9625-2022</t>
  </si>
  <si>
    <t>MOU, Naixia/0000-0003-1700-5943</t>
  </si>
  <si>
    <t>345 E 47TH ST, NEW YORK, NY 10017 USA</t>
  </si>
  <si>
    <t>978-1-4244-2107-7</t>
  </si>
  <si>
    <t>I C WIREL COMM NETW</t>
  </si>
  <si>
    <t>+</t>
  </si>
  <si>
    <t>Telecommunications</t>
  </si>
  <si>
    <t>BIW81</t>
  </si>
  <si>
    <t>WOS:000263466105304</t>
  </si>
  <si>
    <t>Griffiths, G; Brito, M</t>
  </si>
  <si>
    <t>Griffiths, Gwyn; Brito, Mario</t>
  </si>
  <si>
    <t>Predicting Risk in Missions under Sea Ice with Autonomous Underwater Vehicles</t>
  </si>
  <si>
    <t>2008 IEEE/OES AUTONOMOUS UNDERWATER VEHICLES</t>
  </si>
  <si>
    <t>IEEE OES Autonomous Underwater Vehicles</t>
  </si>
  <si>
    <t>IEEE/OES Autonomous Underwater Vehicles Conference (AUV 2008)</t>
  </si>
  <si>
    <t>OCT 13-14, 2008</t>
  </si>
  <si>
    <t>Woods Hole, MA</t>
  </si>
  <si>
    <t>Bayesian belief networks; expert judgment; reliability; risk; Polar Regions</t>
  </si>
  <si>
    <t>CONFIDENCE</t>
  </si>
  <si>
    <t>Autonomous Underwater Vehicles (AUVs) have a future as effective platforms for multi-disciplinary science research and monitoring in the polar oceans. However, operation under ice may involve significant risk to the vehicle. A risk assessment and management process that balances the risk appetite of the responsible owner with the reliability of the vehicle and the probability of loss has been proposed. A critical step in the process of assessing risk is based on expert judgment of the fault history of the vehicle, and what affect faults or incidents have on the probability of loss. However, this subjective expert judgment is sensitive to the nature of sea ice cover. In contrast to the simple, yet high risk, case of operation under an ice shelf, sea ice offers a complex risk environment. Furthermore, the risk is modified by the characteristics of the support vessel, especially its ice-breaking capability. We explore how the ASPeCt sea ice characterization protocol and probability distributions of ice thickness and concentration can be used within a rigorous process to quantify risk given a range of sea ice conditions and with ships of differing ice capabilities. A solution founded on a Bayesian Belief Network approach is proposed, where the results of the expert judgment elicitation is taken as a reference. The design of the network topology captures the causal effects of the environment separately on the vehicle and on the ship, and combines these to produce the output. Complementary expert knowledge is included within the conditional probability tables of the Bayesian Belief Network. Using expert judgment on the fault history of the Autosub3 vehicle and sea ice data gathered in the Arctic and Antarctic by its predecessor, Autosub2, examples are provided of how risk is modified by the sea ice environment.</t>
  </si>
  <si>
    <t>[Griffiths, Gwyn; Brito, Mario] Natl Oceanog Ctr, Southampton SO14 3ZH, Hants, England</t>
  </si>
  <si>
    <t>NERC National Oceanography Centre</t>
  </si>
  <si>
    <t>Griffiths, G (corresponding author), Natl Oceanog Ctr, European Way, Southampton SO14 3ZH, Hants, England.</t>
  </si>
  <si>
    <t>gxg@noc.soton.ac.uk</t>
  </si>
  <si>
    <t>Brito, Mario/0000-0002-1779-4535</t>
  </si>
  <si>
    <t>1522-3167</t>
  </si>
  <si>
    <t>978-1-4244-2938-7</t>
  </si>
  <si>
    <t>IEEE AUTO UNDER VEH</t>
  </si>
  <si>
    <t>10.1109/AUV.2008.5290536</t>
  </si>
  <si>
    <t>Engineering, Ocean</t>
  </si>
  <si>
    <t>Engineering</t>
  </si>
  <si>
    <t>BNK64</t>
  </si>
  <si>
    <t>WOS:000274806100006</t>
  </si>
  <si>
    <t>Nowak, BM; Whitney, T; Ackley, SF</t>
  </si>
  <si>
    <t>Nowak, Brent M.; Whitney, Thomas; Ackley, S. F.</t>
  </si>
  <si>
    <t>Analysis of ROV Video Imagery for Krill Identification and Counting under Antarctic Sea Ice</t>
  </si>
  <si>
    <t>Image processing; underwater vehicles; krill identification; population estimation</t>
  </si>
  <si>
    <t>An off-the-shelf SeaBotix ROV was deployed under Antarctic sea ice near Palmer Station Antarctica during the Sept-Oct 2007 Sea Ice Mass Balance in the Antarctic (SIMBA) project from the research vessel NB Painter. Video imagery taken showed significant numbers of Antarctic krill (sp. Euphasia Superba and/or Euphasia Crystallorophis) under the sea ice at the two stations deployed. The goal of this image analysis is to estimate the krill population densities, as well, as to identify other life forms. The relative motion between the krill and vehicle complicate the video analysis process. The avoidance behavior of the krill adds to this challenge along with the changing lighting conditions under the ice. We discuss these challenges and the algorithms that are under development in this paper. The ROV videos were converted into a string of images, which were used to simulate a running speed of 3 frames/second (fps). A 5 second clip (15 frames) was selected as an initial test for the vision software. The LabVIEW (R) Vision Builder AI software has been selected as an image processing platform, which allows us to rapidly prototype algorithms. We have applied noise reduction techniques to reduce some of the noise. Edge detection filters (such as, but not limited to the Roberts Filter) have been applied to further reduce the image's noise level and to increase the contrast between the krill and the water. Next, we applied thresholds to detect the object, which was subsequently used to identify and count and log the number of distinct objects in the image. Once all of the parameters were set, the 15 images were cycled through the configured inspection in chronological order to simulate an actual inspection of the ROV video. The results of our automated krill population estimate to that of humans counting the krill manually using the same video was conducted. We found that illumination and image quality allowed the most prominent individuals in proximity of the camera to be counted. However, because of background noise and low scattering of some individuals the filtering removed suspected individuals that would suggest this krill density is significantly underestimated. The technique however appears practical. In considering the motion of the krill relative to the vehicle, tracking becomes paramount. Plans for implementing this technique in ongoing development is discussed.</t>
  </si>
  <si>
    <t>[Nowak, Brent M.; Whitney, Thomas] Univ Texas San Antonio, Coll Engn, Dept Mech Engn, San Antonio, TX 78249 USA; [Ackley, S. F.] Univ Texas San Antonio, Coll Sci, Dept Geol Sci, San Antonio, TX 78249 USA</t>
  </si>
  <si>
    <t>University of Texas System; University of Texas at San Antonio (UTSA); University of Texas System; University of Texas at San Antonio (UTSA)</t>
  </si>
  <si>
    <t>Nowak, BM (corresponding author), Univ Texas San Antonio, Coll Engn, Dept Mech Engn, San Antonio, TX 78249 USA.</t>
  </si>
  <si>
    <t>UTSA Office of Sponsored Research under their Collaborative Research Seed Grant Program [CRSGP-2008]; NSF [ANT 0703682]</t>
  </si>
  <si>
    <t>UTSA Office of Sponsored Research under their Collaborative Research Seed Grant Program; NSF(National Science Foundation (NSF))</t>
  </si>
  <si>
    <t>This work was funded in part through the UTSA Office of Sponsored Research under their Collaborative Research Seed Grant Program (CRSGP-2008). In addition, we wish to acknowledge NSF Grant ANT 0703682-Sea Ice Mass Balance in the Antarctic (S.F.Ackley, PI).</t>
  </si>
  <si>
    <t>WOS:000274806100009</t>
  </si>
  <si>
    <t>Schofield, O; Kohut, J; Roarty, H; Glenn, S; Jones, C; Webb, D</t>
  </si>
  <si>
    <t>Schofield, Oscar; Kohut, Josh; Roarty, Hugh; Glenn, Scott; Jones, Clayton; Webb, Doug</t>
  </si>
  <si>
    <t>Enabling discovery based science with Webb Gliders</t>
  </si>
  <si>
    <t>2008 IEEE/OES US/EU-BALTIC INTERNATIONAL SYMPOSIUM</t>
  </si>
  <si>
    <t>IEEE/OES Us/EU-Baltic International Symposium</t>
  </si>
  <si>
    <t>MAY 27-29, 2008</t>
  </si>
  <si>
    <t>Tallinn, ESTONIA</t>
  </si>
  <si>
    <t>Buoyancy driven Slocum Gliders were a vision of Douglas Webb, which Henry Stommel championed in a futuristic vision published in 1989. Slocum Gliders have transitioned from a concept to a technology serving basic research and environmental stewardship. The long duration and low operating costs of Gliders allow them to anchor spatial time series. Large distances, over 600 kilometers, can be covered using a single set of alkaline batteries. Since the initial tests, a wide range of physical and optical sensors have been integrated into the Glider allowing measurements of temperature, salinity, depth averaged currents, surface currents, fluorescence, apparent and inherent optical properties. The ability to operate Gliders for extended periods of time are making them the central in situ technology for the evolving ocean observatories. Off shore New Jersey Gliders have occupied a cross shelf transect and has documented the annual variability in shelf wide stratification on the Mid-Atlantic Bight and the role of storms in sediment resuspension. The sustained data permits scientists to gather regional data critical to addressing if, and how, the oceans are changing. One of next major regions we will use this technology is to study the climate induced impacts on the food webs along the West Antarctic Peninsula.</t>
  </si>
  <si>
    <t>[Schofield, Oscar; Kohut, Josh; Roarty, Hugh; Glenn, Scott] Rutgers State Univ, Sch Environm &amp; Biol Sci, Inst Marine &amp; Coastal Sci, Coastal Ocean Observat Lab, New Brunswick, NJ 08901 USA; [Jones, Clayton; Webb, Doug] Webb Res Inc, East Falmouth, MA 02536 USA</t>
  </si>
  <si>
    <t>Rutgers University System; Rutgers University New Brunswick</t>
  </si>
  <si>
    <t>Schofield, O (corresponding author), Rutgers State Univ, Sch Environm &amp; Biol Sci, Inst Marine &amp; Coastal Sci, Coastal Ocean Observat Lab, New Brunswick, NJ 08901 USA.</t>
  </si>
  <si>
    <t>Schofield, Oscar/H-4169-2018</t>
  </si>
  <si>
    <t>Schofield, Oscar/0000-0003-2359-4131</t>
  </si>
  <si>
    <t>Office of Naval Research; National Science Foundation; National Partnership Program</t>
  </si>
  <si>
    <t>Office of Naval Research(Office of Naval Research); National Science Foundation(National Science Foundation (NSF)); National Partnership Program</t>
  </si>
  <si>
    <t>We thank our sponsors from the Office of Naval Research, National Science Foundation, and the National Partnership Program. We also thank the stupendous efforts of the technicians, students and post-doctoral researchers who make the COOL room one of the most stimulating and exciting places to work every day.</t>
  </si>
  <si>
    <t>978-1-4244-2267-8</t>
  </si>
  <si>
    <t>10.1109/BALTIC.2008.4625486</t>
  </si>
  <si>
    <t>Ecology; Engineering, Marine</t>
  </si>
  <si>
    <t>Environmental Sciences &amp; Ecology; Engineering</t>
  </si>
  <si>
    <t>BIS99</t>
  </si>
  <si>
    <t>WOS:000262477400001</t>
  </si>
  <si>
    <t>Eremina, TE; Ryabchenko, VA; Neelov, IA; Dvomikov, AY; Karlin, LN</t>
  </si>
  <si>
    <t>Eremina, T. E.; Ryabchenko, V. A.; Neelov, I. A.; Dvomikov, A. Yu.; Karlin, L. N.</t>
  </si>
  <si>
    <t>Development of the Complex of Coordinated Models as a Basis for Operational Forecasting System for the Eastern Part of the Gulf of Finland</t>
  </si>
  <si>
    <t>Paper describes the complex of hydrodynamic models that will serve as a basis for creating the operational forecast system for the coastal zone of the Russian part of the Gulf of Finland. The complex includes an atmospheric model, hydrodynamic models of the Baltic a as well as regional models with high spatial resolution. The test runs with SPBM (St.Petersburg Baltic Model) and NEVAM (Neva Bay model) showed their ability to simulate adequately circulation pattern in the Gulf of Finland and Neva Bay in different hydro-meteorological conditions.</t>
  </si>
  <si>
    <t>[Eremina, T. E.; Karlin, L. N.] Russian State Hydrometeorol Univ, 98 Malookhtinsky Prospekt, St Petersburg 195196, Russia; [Ryabchenko, V. A.; Dvomikov, A. Yu.] PP Shirshov Oceanol Inst, St Petersburg Branch, R-199053 St Petersburg, Russia; [Neelov, I. A.] Arctic &amp; Antarctic Res Inst, St Petersburg, Russia</t>
  </si>
  <si>
    <t>Russian State Hydrometeorological University; Russian Academy of Sciences; Shirshov Institute of Oceanology; Arctic &amp; Antarctic Research Institute</t>
  </si>
  <si>
    <t>Eremina, TE (corresponding author), Russian State Hydrometeorol Univ, 98 Malookhtinsky Prospekt, St Petersburg 195196, Russia.</t>
  </si>
  <si>
    <t>Ryabchenko, Vladimir Alexeevich/R-3877-2016; Eremina, Tatjana/E-6467-2017</t>
  </si>
  <si>
    <t>Ryabchenko, Vladimir Alexeevich/0000-0003-3909-537X; Eremina, Tatjana/0000-0001-5243-1804</t>
  </si>
  <si>
    <t>Russian Foundation for Basic Research [07-05-13590]</t>
  </si>
  <si>
    <t>Russian Foundation for Basic Research(Russian Foundation for Basic Research (RFBR)Spanish Government)</t>
  </si>
  <si>
    <t>This work was supported by the Russian Foundation for Basic Research, grant 07-05-13590. The authors are grateful to the EC ECOOP project for capacity building creation in operational forecasting activities.</t>
  </si>
  <si>
    <t>WOS:000262477400068</t>
  </si>
  <si>
    <t>Zirizzotti, A; Baskaradas, JA; Bianchi, C; Sciacca, U; Tabacco, IE; Zuccheretti, E</t>
  </si>
  <si>
    <t>Zirizzotti, A.; Baskaradas, J. A.; Bianchi, C.; Sciacca, U.; Tabacco, I. E.; Zuccheretti, E.</t>
  </si>
  <si>
    <t>Glacio RADAR system and results</t>
  </si>
  <si>
    <t>2008 IEEE RADAR CONFERENCE, VOLS. 1-4</t>
  </si>
  <si>
    <t>IEEE Radar Conference</t>
  </si>
  <si>
    <t>2008 IEEE Radar Conference</t>
  </si>
  <si>
    <t>MAY 26-30, 2008</t>
  </si>
  <si>
    <t>Rome, ITALY</t>
  </si>
  <si>
    <t>VHF Radar; RES-system</t>
  </si>
  <si>
    <t>ICE CORE SITE; DOME-C; EAST ANTARCTICA; REGION; MORPHOLOGY</t>
  </si>
  <si>
    <t>Since 1997 the Istituto Nazionale di Geortsica e Vulcanologia (INGV) in Italy has been involved in the development of the airborne RES system named Glacio RADAR, which is continuously upgraded. Radio Echo Sounding (RES) techniques are widely used in glaciological measurements. They are based on the use of radar systems, to obtain information concerning ice thickness of ice sheets and ice shelves, internal layering of glaciers, detection of inhomogeneities, exploration of subglacial lakes and identification of physical nature of subglacial interface. The Glacio RADAR is mounted on an aircraft and flies at an altitude around 300m above the ice surface during the survey. The first prototype operates in bistatic mode with separate transmit and receive one wire folded dipole installed beneath the aircraft wings. It works at 60 MHz with an envelope pulse width variable between 0.3 mu s and 1 mu s. The receiving window is 64 mu s which implies a maximum penetration depth (range) in the ice of about 5.3 km. The horizontal sampling rate is 10 traces/s at a mean aircraft speed of about 70 m/s. This would produce roughly 143 traces per kilometre (horizontal resolution of I trace every 7 in). The Navigation and geographical information is based on a on board GPS receiver giving longitude, latitude, altitude and time for the acquired radar trace. This radar was used in several Italian Antarctic Expeditions (1997, 1999, 2001 and 2003) and highlights of data results from these expeditions are presented here.</t>
  </si>
  <si>
    <t>[Zirizzotti, A.; Baskaradas, J. A.; Bianchi, C.; Sciacca, U.; Zuccheretti, E.] Inst Nazl Geofis &amp; Vulcanol, Sez Roma2, Via Vigna Murata 605, I-00143 Rome, Italy; [Tabacco, I. E.] Univ Milan, Dipartimento Sci Della Terra, I-20129 Milan, Italy</t>
  </si>
  <si>
    <t>Istituto Nazionale Geofisica e Vulcanologia (INGV); University of Milan</t>
  </si>
  <si>
    <t>Zirizzotti, A (corresponding author), Inst Nazl Geofis &amp; Vulcanol, Sez Roma2, Via Vigna Murata 605, I-00143 Rome, Italy.</t>
  </si>
  <si>
    <t>zirizzotti@ingv.it</t>
  </si>
  <si>
    <t>Baskaradas, James A/C-2616-2012; Zirizzotti, Achille/HKE-0592-2023</t>
  </si>
  <si>
    <t>Zirizzotti, Achille/0000-0001-7586-9219; BASKARADAS, James Arokiasamy/0000-0001-8596-1377</t>
  </si>
  <si>
    <t>Glaciology of the PNRA-MIUR; PNRA Consortium through collaboration; ENEA Roma</t>
  </si>
  <si>
    <t>Research was carried out in the framework of the Project on Glaciology of the PNRA-MIUR and financially supported by the PNRA Consortium through collaboration with ENEA Roma.</t>
  </si>
  <si>
    <t>1097-5764</t>
  </si>
  <si>
    <t>978-1-4244-1538-0</t>
  </si>
  <si>
    <t>IEEE RAD CONF</t>
  </si>
  <si>
    <t>Remote Sensing; Telecommunications</t>
  </si>
  <si>
    <t>BJC08</t>
  </si>
  <si>
    <t>WOS:000264663001002</t>
  </si>
  <si>
    <t>Galin, N; Worby, A; Massom, R; Brooker, G; Leuschen, C; Gogineni, SP; Jansen, P</t>
  </si>
  <si>
    <t>Galin, N.; Worby, A.; Massom, R.; Brooker, G.; Leuschen, C.; Gogineni, S. P.; Jansen, P.</t>
  </si>
  <si>
    <t>2-8 GHz FMCW Radar for Estimating Snow Depth on Antarctic Sea Ice</t>
  </si>
  <si>
    <t>2008 INTERNATIONAL CONFERENCE ON RADAR, VOLS 1 AND 2</t>
  </si>
  <si>
    <t>International Conference on Radar</t>
  </si>
  <si>
    <t>SEP 02-05, 2008</t>
  </si>
  <si>
    <t>Adelaide, AUSTRALIA</t>
  </si>
  <si>
    <t>This paper presents the development and initial results from a prototype airborne Frequency Modulated Continuous Wave (FMCW) snow thickness radar operating at 2-8 C.Hz. The FMCW radar was constructed at the Center for Remote Sensing of Ice Sheets (CReSIS), Kansas University (USA) and is the product of a collaborative effort between Kansas University, the University of Tasmania (Australia) and the Australian Antarctic Division. This radar was successfully tested in a laboratory, and then deployed on a helicopter during the Australian-led Sea Ice Physics and Ecosystem Experiment (SIPEX) research cruise to the East Antarctic pack ice zone in September - October 2007. Approximately twenty hours of airborne radar data were collected and time-stamped with GPS data for accurate geolocation. Coincident data from a scanning laser altimeter, as well as digital photography, enable a multi-dimensional view of the sample areas, and are important for interpreting the radar signatures. The data obtained provide a multi-dimensional view of the snow and sea ice surface.</t>
  </si>
  <si>
    <t>[Galin, N.] Univ Tasmania, Dept Math &amp; Phys, Inst Antarctic &amp; So Ocean Studies, Hobart, Tas 7001, Australia; [Worby, A.; Massom, R.] Univ Tasmania, Antarct Climate &amp; Ecosyst CRC, Hobart, Tas 7001, Australia; [Worby, A.; Massom, R.; Jansen, P.] Australian Antarct Div, Kingston, Tas, Australia; [Brooker, G.] Univ Sydney, Australian Ctr Field Robot, Sydney, NSW 2006, Australia; [Leuschen, C.; Gogineni, S. P.] Univ Kansas, Dept Elect Engn, Lawrence, KS 66045 USA</t>
  </si>
  <si>
    <t>University of Tasmania; University of Tasmania; Australian Antarctic Division; University of Sydney; University of Kansas</t>
  </si>
  <si>
    <t>Galin, N (corresponding author), Univ Tasmania, Dept Math &amp; Phys, Inst Antarctic &amp; So Ocean Studies, Hobart, Tas 7001, Australia.</t>
  </si>
  <si>
    <t>ngalin@ieee.org</t>
  </si>
  <si>
    <t>Worby, Anthony P/A-2373-2012</t>
  </si>
  <si>
    <t>Brooker, Graham/0000-0001-9726-4229; Massom, Robert/0000-0003-1533-5084</t>
  </si>
  <si>
    <t>Australian Government's Cooperative Research Centres Programme through the Antarctic Climate; Ecosystems Cooperative Research Centre (ACE CRC); Australian Antarctic Science proposal 2901; Oceans node of ARCNESS</t>
  </si>
  <si>
    <t>Australian Government's Cooperative Research Centres Programme through the Antarctic Climate(Australian GovernmentDepartment of Industry, Innovation and ScienceCooperative Research Centres (CRC) Programme); Ecosystems Cooperative Research Centre (ACE CRC)(Australian GovernmentDepartment of Industry, Innovation and ScienceCooperative Research Centres (CRC) Programme); Australian Antarctic Science proposal 2901; Oceans node of ARCNESS</t>
  </si>
  <si>
    <t>This work was carried out with the support of the Australian Government's Cooperative Research Centres Programme through the Antarctic Climate and Ecosystems Cooperative Research Centre (ACE CRC) and the Australian Antarctic Science proposal 2901. This work was partially supported by a grant from the Oceans node of ARCNESS.</t>
  </si>
  <si>
    <t>978-1-4244-2321-7</t>
  </si>
  <si>
    <t>Engineering, Electrical &amp; Electronic; Physics, Applied</t>
  </si>
  <si>
    <t>Engineering; Physics</t>
  </si>
  <si>
    <t>BIY71</t>
  </si>
  <si>
    <t>WOS:000263784000053</t>
  </si>
  <si>
    <t>Macelloni, G; Brogioni, M; Paloscia, S; Pampaloni, P; Pettinato, S; Santi, E</t>
  </si>
  <si>
    <t>Macelloni, Giovanni; Brogioni, Marco; Paloscia, Simonetta; Pampaloni, Paolo; Pettinato, Simone; Santi, Emanuele</t>
  </si>
  <si>
    <t>Monitoring of temporal and spatial variability of the East-Antarctic plateau using passive microwave data</t>
  </si>
  <si>
    <t>2008 MICROWAVE RADIOMETRY AND REMOTE SENSING OF THE ENVIRONMENT</t>
  </si>
  <si>
    <t>10th Specialist Meeting on Microwave Radiometry and Remote Sensing of the Environment</t>
  </si>
  <si>
    <t>MAR 11-14, 2008</t>
  </si>
  <si>
    <t>Florence, ITALY</t>
  </si>
  <si>
    <t>AMSR-E; Antarctica; Microwave Radiometer</t>
  </si>
  <si>
    <t>The Antarctic plateau is a part of Antarctica extending for a few hundred kilometers around the South Pole with an average elevation dose to 3000 in a.s.l.. This area provides unique opportunities for various scientific disciplines including Glaciology, Atmospheric and Earth Sciences. In this paper temporal and spatial variability of multi-frequency microwave emission from the East Antarctic plateau by using AMSR-E data collected from 2005 to 2007 is analyzed.</t>
  </si>
  <si>
    <t>[Macelloni, Giovanni; Brogioni, Marco; Paloscia, Simonetta; Pampaloni, Paolo; Pettinato, Simone; Santi, Emanuele] CNR IFAC, Inst Appl Phys, Florence, Italy</t>
  </si>
  <si>
    <t>Consiglio Nazionale delle Ricerche (CNR); Istituto di Fisiologia Clinica (IFC-CNR); Istituto di Fisica Applicata Nello Carrara (IFAC-CNR)</t>
  </si>
  <si>
    <t>Macelloni, G (corresponding author), CNR IFAC, Inst Appl Phys, Florence, Italy.</t>
  </si>
  <si>
    <t>G.Macelloni@ifac.cnr.it</t>
  </si>
  <si>
    <t>Pettinato, Simone/H-6051-2019; Brogioni, Marco/Q-6583-2019; Santi, Emanuele/A-7755-2013; Macelloni, Giovanni/B-7518-2015; Paloscia, Simonetta/AAK-9186-2021; Brogioni, Marco/B-7522-2015</t>
  </si>
  <si>
    <t>Pettinato, Simone/0000-0002-3155-8918; Brogioni, Marco/0000-0001-6232-6020; Santi, Emanuele/0000-0003-1882-6321; Paloscia, Simonetta/0000-0003-3414-4531; Brogioni, Marco/0000-0001-6232-6020; MACELLONI, GIOVANNI/0000-0002-9738-7939</t>
  </si>
  <si>
    <t>978-1-4244-1986-9</t>
  </si>
  <si>
    <t>Engineering, Electrical &amp; Electronic; Remote Sensing</t>
  </si>
  <si>
    <t>Engineering; Remote Sensing</t>
  </si>
  <si>
    <t>BIJ56</t>
  </si>
  <si>
    <t>WOS:000260085700042</t>
  </si>
  <si>
    <t>Moore, AM; Leslie, T; Ashley, MCB; Aristidi, E; Bedding, T; Briguglio, R; Busso, M; Candidi, M; Cutispoto, G; Distefano, E; Everett, J; Kenyon, S; Lawrence, J; Le Roux, B; Luong-Vane, D; Phillips, A; Ragazzoni, R; Sabbatini, L; Salinari, P; Stello, D; Storey, JWV; Taylor, M; Tosti, G; Travouillon, T</t>
  </si>
  <si>
    <t>Zinnecker, H; Epchtein, N; Rauer, H</t>
  </si>
  <si>
    <t>Moore, A. M.; Leslie, T.; Ashley, M. C. B.; Aristidi, E.; Bedding, T.; Briguglio, R.; Busso, M.; Candidi, M.; Cutispoto, G.; Distefano, E.; Everett, J.; Kenyon, S.; Lawrence, J.; Le Roux, B.; Luong-Vane, D.; Phillips, A.; Ragazzoni, R.; Sabbatini, L.; Salinari, P.; Stello, D.; Storey, J. W. V.; Taylor, M.; Tosti, G.; Travouillon, T.</t>
  </si>
  <si>
    <t>THE DOME C GATTINI SKY BRIGHTNESS CAMERAS: RESULTS FROM THE FIRST YEAR OF OPERATION</t>
  </si>
  <si>
    <t>2nd Arena Conference on The Astrophysical Science Cases at Dome C</t>
  </si>
  <si>
    <t>EAS PUBLICATIONS SERIES</t>
  </si>
  <si>
    <t>2nd ARENA Conference on the Astrophysical Science Cases at Dome C</t>
  </si>
  <si>
    <t>SEP 17-21, 2007</t>
  </si>
  <si>
    <t>Potsdam, GERMANY</t>
  </si>
  <si>
    <t>The Gattini-DomeC project, part of the TRAIT site testing campaign and ongoing since January 2006, consists of two cameras for the measurement of optical sky brightness, large area cloud cover, and auroral detection above the DomeC site, home of the French-Italian Concordia station. The cameras are transit in nature and are virtually identical except for the nature of the lenses. The cameras have operated throughout the past two Antarctic winter seasons and here we present the results obtained from the 2006 winter-time dataset of the wide field All-sky camera.</t>
  </si>
  <si>
    <t>[Moore, A. M.] CALTECH, Caltech Opt Observ, Pasadena, CA 91106 USA</t>
  </si>
  <si>
    <t>California Institute of Technology</t>
  </si>
  <si>
    <t>Moore, AM (corresponding author), CALTECH, Caltech Opt Observ, Pasadena, CA 91106 USA.</t>
  </si>
  <si>
    <t>Tosti, Gino/E-9976-2013; Bedding, Timothy/AAU-9400-2021; Stello, Dennis/Q-9754-2019; Busso, Maurizio Maria/K-7075-2015</t>
  </si>
  <si>
    <t>Tosti, Gino/0000-0002-0839-4126; Bedding, Timothy/0000-0001-5222-4661; Stello, Dennis/0000-0002-4879-3519; Aristidi, Eric/0000-0001-9886-7670; Lawrence, Jon/0000-0002-6998-6993; Distefano, Elisa/0000-0002-2448-2513; Bedding, Timothy/0000-0001-5943-1460; Briguglio, Runa/0000-0002-0495-0543; Moore, Anna/0000-0002-2894-6936; Ragazzoni, Roberto/0000-0002-7697-5555; Busso, Maurizio Maria/0000-0001-8944-5820; Ashley, Michael/0000-0003-1412-2028; Travouillon, Tony/0000-0001-9304-6718</t>
  </si>
  <si>
    <t>E D P SCIENCES</t>
  </si>
  <si>
    <t>CEDEX A</t>
  </si>
  <si>
    <t>17 AVE DU HOGGAR PARC D ACTIVITES COUTABOEUF BP 112, F-91944 CEDEX A, FRANCE</t>
  </si>
  <si>
    <t>1633-4760</t>
  </si>
  <si>
    <t>978-2-7598-0380-4</t>
  </si>
  <si>
    <t>EAS PUBLICATIONS</t>
  </si>
  <si>
    <t>10.1051/eas:0833004</t>
  </si>
  <si>
    <t>BIS85</t>
  </si>
  <si>
    <t>WOS:000262474300003</t>
  </si>
  <si>
    <t>Griffin, M; de Graauw, T; Pilbratt, G; Poglitsch, A</t>
  </si>
  <si>
    <t>Griffin, M.; de Graauw, T.; Pilbratt, G.; Poglitsch, A.</t>
  </si>
  <si>
    <t>HERSCHEL AND BEYOND: FIR AND SUBMILLIMETRE SPACE MISSIONS AND POSSIBLE SYNERGIES WITH ANTARCTIC ASTRONOMY</t>
  </si>
  <si>
    <t>The Herschel Space Observatory is the fourth cornerstone mission in the European Space Agency (ESA) science programme, and is scheduled for launch in late 2008. It will perform imaging photometry and spectroscopy at far infrared and submillimetre wavelengths, covering approximately the 60-670 tan range. The three payload instruments are briefly described, and examples of their scientific capabilities are given from the Guaranteed Time Key Projects which have already been approved. Prospects for future far infrared/submillimetre space astronomy are briefly reviewed, and the implications for possible Antarctic facilities operating in this spectral region are discussed.</t>
  </si>
  <si>
    <t>[Griffin, M.] Cardiff Univ, Cardiff, S Glam, Wales</t>
  </si>
  <si>
    <t>Cardiff University</t>
  </si>
  <si>
    <t>Griffin, M (corresponding author), Cardiff Univ, Cardiff, S Glam, Wales.</t>
  </si>
  <si>
    <t>10.1051/eas:0833009</t>
  </si>
  <si>
    <t>WOS:000262474300008</t>
  </si>
  <si>
    <t>Denker, C; Strassmeier, KG</t>
  </si>
  <si>
    <t>Denker, C.; Strassmeier, K. G.</t>
  </si>
  <si>
    <t>SOLAR PHYSICS AND THE SOLAR-STELLAR CONNECTION AT DOME C</t>
  </si>
  <si>
    <t>2ND ARENA CONFERENCE ON THE ASTROPHYSICAL SCIENCE CASES AT DOME C</t>
  </si>
  <si>
    <t>EAS Publications Series</t>
  </si>
  <si>
    <t>ICE-T; STARS</t>
  </si>
  <si>
    <t>Solar magnetic fields evolve on many time-scales, e.g., the generation, migration, and dissipation of magnetic flux during the 22-year magnetic cycle of the Sun. Active regions develop and decay over periods of weeks. The build-up of magnetic shear in active regions can occur within less than a day. At the shortest time-scales, the magnetic field topology can change rapidly within a few minutes as the result of eruptive events such as flares, filament eruptions, and coronal mass ejections. The unique daytime seeing characteristics at Dome C, i.e., continuous periods of very good to excellent seeing during almost the entire Antarctic summer, allow us to address many of the top science cases related to the evolution of solar magnetic fields. We introduce the Advanced Solar Photometric Imager and Radiation Experiment and present the science cases for synoptic solar observations at Dome C. Furthermore, common science cases concerning the solar-stellar connection are discussed in the context of the proposed International Concordia Explorer Telescope.</t>
  </si>
  <si>
    <t>[Denker, C.; Strassmeier, K. G.] Astrophys Inst Potsdam, D-14482 Potsdam, Germany</t>
  </si>
  <si>
    <t>Denker, C (corresponding author), Astrophys Inst Potsdam, Sternwarte 16, D-14482 Potsdam, Germany.</t>
  </si>
  <si>
    <t>10.1051/eas:0833014</t>
  </si>
  <si>
    <t>Green Submitted</t>
  </si>
  <si>
    <t>WOS:000262474300013</t>
  </si>
  <si>
    <t>du Foresto, VC</t>
  </si>
  <si>
    <t>du Foresto, V. Coude</t>
  </si>
  <si>
    <t>A SCIENCE CASE FOR INFRARED INTERFEROMETRY AT DOME C</t>
  </si>
  <si>
    <t>CHARA/FLUOR; ANTARCTICA; GENIE; STARS</t>
  </si>
  <si>
    <t>A case for infrared interferometry at Dome C is developed. The objective is to pave the way for future space missions dedicated to the spectroscopic IR characterization of exoearth atmospheres, by investigating one of the major, and least known, noise sources (amount of exozodiacal light) in the direct detection telluric exoplanets. An antarctic nuller is the optimal answer for this purpose, providing with relatively modest 1 m apertures a capability that outperforms a pair of 8 m telescopes on a temperate site.</t>
  </si>
  <si>
    <t>Observ Paris, LESIA, F-92190 Meudon, France</t>
  </si>
  <si>
    <t>Universite PSL; Observatoire de Paris</t>
  </si>
  <si>
    <t>du Foresto, VC (corresponding author), Observ Paris, LESIA, 5 Pl Jules Janssen, F-92190 Meudon, France.</t>
  </si>
  <si>
    <t>10.1051/eas:0833017</t>
  </si>
  <si>
    <t>WOS:000262474300016</t>
  </si>
  <si>
    <t>Storey, JWV; Ashley, MCB; Burton, MG; Lawrence, JS; Saunders, W</t>
  </si>
  <si>
    <t>Storey, J. W. V.; Ashley, M. C. B.; Burton, M. G.; Lawrence, J. S.; Saunders, W.</t>
  </si>
  <si>
    <t>PILOT-LIKE TELESCOPE POTENTIAL</t>
  </si>
  <si>
    <t>LARGE OPTICAL TELESCOPE; PATHFINDER</t>
  </si>
  <si>
    <t>In this paper we review the progress towards the deployment of a large PILOT-like telescope at Concordia Station, Dome C. PILOT is a proposed 2.4 m optical/IR telescope that will cost in excess of EUR 10 m, and is thus representative of the scale of facility that will transform Concordia into a significant international observatory. A design study of PILOT, funded by the Australian government, is currently underway. We describe the current status of this design study, and discuss the implications that major international projects such as PILOT hold for the future of Antarctic astronomy at Concordia.</t>
  </si>
  <si>
    <t>[Storey, J. W. V.; Ashley, M. C. B.; Burton, M. G.; Lawrence, J. S.] Univ New S Wales, Sch Phys, Sydney, NSW 2052, Australia</t>
  </si>
  <si>
    <t>University of New South Wales Sydney</t>
  </si>
  <si>
    <t>Storey, JWV (corresponding author), Univ New S Wales, Sch Phys, Sydney, NSW 2052, Australia.</t>
  </si>
  <si>
    <t>j.storey@unsw.edu.au</t>
  </si>
  <si>
    <t>Lawrence, Jon/0000-0002-6998-6993; Ashley, Michael/0000-0003-1412-2028; Burton, Michael/0000-0001-7289-1998</t>
  </si>
  <si>
    <t>10.1051/eas:0833026</t>
  </si>
  <si>
    <t>WOS:000262474300025</t>
  </si>
  <si>
    <t>York, DG</t>
  </si>
  <si>
    <t>York, D. G.</t>
  </si>
  <si>
    <t>AN ANTARCTIC, FULL-SKY, HIGH-SPEED, IMAGING ARRAY FOR OPTICAL TRANSIENTS</t>
  </si>
  <si>
    <t>GAMMA-RAY BURSTS; SEARCH; REDSHIFT; CONSTRAINTS; AFTERGLOWS; PROGENITOR; DISCOVERY; FLASHES; GALAXY</t>
  </si>
  <si>
    <t>Many problems in tine domain astronomy are best approached with continuous, high frequency (&lt;1 minute) observations over a large area of the sky; because event rates are generally less than 0.01 detections per sq. degree in a year. For GRBs and the earliest stages of SNe, follow-up spectroscopy, multiband photometry and polarization measurements need to be triggered in seconds or minutes. Plateau sites in Antarctica are optimal for a new survey, Man (eXtreme Imaging Antarctic Network), for which the scientific motivation is presented.</t>
  </si>
  <si>
    <t>York, DG (corresponding author), 5640 So Ellis Ave,AAC002, Chicago, IL USA.</t>
  </si>
  <si>
    <t>10.1051/eas:0833029</t>
  </si>
  <si>
    <t>WOS:000262474300028</t>
  </si>
  <si>
    <t>Candidi, M</t>
  </si>
  <si>
    <t>Candidi, M.</t>
  </si>
  <si>
    <t>PRINCIPLES OF THE ANTARCTIC TREATY</t>
  </si>
  <si>
    <t>The operation of any base or expedition to Antarctica is regulated by the mutual agreement among nations in the Antarctic Treaty. This treaty deals with the major aspects of life in Antarctica and its main principles and provisions are described in what follows.</t>
  </si>
  <si>
    <t>INAF IFSI, Area Tor Vergata, I-00133 Rome, Italy</t>
  </si>
  <si>
    <t>Istituto Nazionale Astrofisica (INAF)</t>
  </si>
  <si>
    <t>Candidi, M (corresponding author), INAF IFSI, Area Tor Vergata, Via Fosso Cavaliere 100, I-00133 Rome, Italy.</t>
  </si>
  <si>
    <t>10.1051/eas:0833030</t>
  </si>
  <si>
    <t>WOS:000262474300029</t>
  </si>
  <si>
    <t>Abia, C; Domínguez, I; Dolci, M; Straniero, O; Isern, J; Colomé, J; Busso, M; Tosti, G</t>
  </si>
  <si>
    <t>Abia, C.; Dominguez, I.; Dolci, M.; Straniero, O.; Isern, J.; Colome, J.; Busso, M.; Tosti, G.</t>
  </si>
  <si>
    <t>IRAIT Team</t>
  </si>
  <si>
    <t>INFRARED OBSERVATIONS OF SUPERNOVAE WITH IRAIT AT DOME C</t>
  </si>
  <si>
    <t>IA SUPERNOVAE; 2001EL</t>
  </si>
  <si>
    <t>Core collapse and thermonuclear supernovae are among the brightest objects in the Universe. However, although we have an ample knowledge of their optical properties, comparatively little is still known in the infrared. Dome C seems to be the best place on Earth for astronomical observations at infrared and submillimeter wavelengths. The telescope IRAIT (International Robotic Antarctic Infrared Telescope) will be the first European astronomical facility at Dome C, and it is planned to be fully operational by the end of 2008. IRAIT will be equipped with the AMICA camera for near- and mid- infrared imaging and photometry. As a key scientific project with IRAIT, we propose a long term study of near- (K) and mid- (LMNQ) infrared light curves of bright supernovae.</t>
  </si>
  <si>
    <t>[Abia, C.; Dominguez, I.] Univ Granada, Dpto Fis Teor &amp; Cosmos, E-18071 Granada, Spain</t>
  </si>
  <si>
    <t>University of Granada</t>
  </si>
  <si>
    <t>Abia, C (corresponding author), Univ Granada, Dpto Fis Teor &amp; Cosmos, E-18071 Granada, Spain.</t>
  </si>
  <si>
    <t>Dominguez, Inma/P-2324-2017; Tosti, Gino/E-9976-2013; Isern, Jordi/B-1844-2015; Busso, Maurizio Maria/K-7075-2015; Abia Ladron De Guevara, Carlos Antonio/O-9585-2017</t>
  </si>
  <si>
    <t>Tosti, Gino/0000-0002-0839-4126; Dolci, Mauro/0000-0001-8000-5642; Isern, Jordi/0000-0002-0819-9574; Busso, Maurizio Maria/0000-0001-8944-5820; Abia Ladron De Guevara, Carlos Antonio/0000-0002-5665-2716; Straniero, Oscar/0000-0002-5514-6125; Dominguez Aguilera, Inmaculada/0000-0002-3827-4731</t>
  </si>
  <si>
    <t>10.1051/eas:0833031</t>
  </si>
  <si>
    <t>WOS:000262474300030</t>
  </si>
  <si>
    <t>Guandalini, R; Tosti, G; Busso, M</t>
  </si>
  <si>
    <t>Guandalini, R.; Tosti, G.; Busso, M.</t>
  </si>
  <si>
    <t>IRAIT Collaboration</t>
  </si>
  <si>
    <t>TRAIT (SCIENCE TO BE DONE WITH ...)</t>
  </si>
  <si>
    <t>AGB STARS; DOME-C</t>
  </si>
  <si>
    <t>The International Robotic Antarctic Infrared Telescope (IRAIT) will be the first European infrared telescope to operate on the Antarctic Plateau: IRAIT is scheduled to arrive at Dome C during the 2007-2008 Antarctic campaign. The main TRAIT Focal Plane Instrument is AMICA (Antarctic Multiband Infrared CAmera) an instrument designed to observe in the Near- and Mid-infrared (2-28 mu m). Here we give a brief description of the telescope and discuss which kind of science could be performed from Dome C.</t>
  </si>
  <si>
    <t>[Guandalini, R.; Tosti, G.; Busso, M.] Univ Perugia, Dipartimento Fis, I-06123 Perugia, Italy</t>
  </si>
  <si>
    <t>University of Perugia</t>
  </si>
  <si>
    <t>Guandalini, R (corresponding author), Univ Perugia, Dipartimento Fis, Via A Pascoli, I-06123 Perugia, Italy.</t>
  </si>
  <si>
    <t>guandalini@fisica.unipg.it</t>
  </si>
  <si>
    <t>Tosti, Gino/E-9976-2013; Busso, Maurizio Maria/K-7075-2015</t>
  </si>
  <si>
    <t>Tosti, Gino/0000-0002-0839-4126; Busso, Maurizio Maria/0000-0001-8944-5820</t>
  </si>
  <si>
    <t>10.1051/eas:0833032</t>
  </si>
  <si>
    <t>WOS:000262474300031</t>
  </si>
  <si>
    <t>Strassmeier, KG; Granzer, T; Briguglio, R; Tosti, G; Bagaglia, M; Castellini, S; Mancini, A; Nucciarelli, G; Straniero, O</t>
  </si>
  <si>
    <t>Strassmeier, K. G.; Granzer, T.; Briguglio, R.; Tosti, G.; Bagaglia, M.; Castellini, S.; Mancini, A.; Nucciarelli, G.; Straniero, O.</t>
  </si>
  <si>
    <t>FIRST TIME-SERIES OPTICAL PHOTOMETRY FROM DOME C</t>
  </si>
  <si>
    <t>TELESCOPE</t>
  </si>
  <si>
    <t>First time-series observations with the 25-cm sIRAIT Antarctic pilot telescope from May 2007 are presented and show that the site is well suited for time-series high-precision photometry. Our target stars were one spotted 5.998-day rotating variable and one short-period delta-Scuti star. A total of 13 000 BVR CCD frames covered a time series of 243 consecutive hours.</t>
  </si>
  <si>
    <t>[Strassmeier, K. G.; Granzer, T.] AIP, D-14482 Potsdam, Germany</t>
  </si>
  <si>
    <t>Leibniz Institut fur Astrophysik Potsdam (AIP)</t>
  </si>
  <si>
    <t>Strassmeier, KG (corresponding author), AIP, D-14482 Potsdam, Germany.</t>
  </si>
  <si>
    <t>Tosti, Gino/E-9976-2013</t>
  </si>
  <si>
    <t>Tosti, Gino/0000-0002-0839-4126; Granzer, Thomas/0000-0002-5310-1521; Straniero, Oscar/0000-0002-5514-6125; Briguglio, Runa/0000-0002-0495-0543</t>
  </si>
  <si>
    <t>10.1051/eas:0833037</t>
  </si>
  <si>
    <t>WOS:000262474300036</t>
  </si>
  <si>
    <t>Takato, N; Ichikawa, T; Uraguchi, F; Lundock, R; Murata, C; Taniguchi, Y; Motoyama, H; Fukui, K; Taguchi, M</t>
  </si>
  <si>
    <t>Takato, N.; Ichikawa, T.; Uraguchi, F.; Lundock, R.; Murata, C.; Taniguchi, Y.; Motoyama, H.; Fukui, K.; Taguchi, M.</t>
  </si>
  <si>
    <t>A 2-M CLASS TELESCOPE AT DOME FUJI</t>
  </si>
  <si>
    <t>Dome Fuji is potentially one of the best astronomical sites in Antarctic plateau. We have a plan to build a 2-m class infrared telescope at Dome Fuji, and have been evaluating the site since the 2006/2007 Antarctic summer. We present the outline of a 2-m class telescope project and some results of our SODAR measurements.</t>
  </si>
  <si>
    <t>[Takato, N.; Uraguchi, F.] Natl Inst Nat Sci, Natl Astron Observ Japan, Subaru Telescope, Hilo, HI 96720 USA</t>
  </si>
  <si>
    <t>National Institutes of Natural Sciences (NINS) - Japan; National Astronomical Observatory of Japan (NAOJ)</t>
  </si>
  <si>
    <t>Takato, N (corresponding author), Natl Inst Nat Sci, Natl Astron Observ Japan, Subaru Telescope, 650 N Aohoku Pl, Hilo, HI 96720 USA.</t>
  </si>
  <si>
    <t>FUKUI, Kotaro/H-5600-2018</t>
  </si>
  <si>
    <t>FUKUI, Kotaro/0000-0003-2106-0232</t>
  </si>
  <si>
    <t>10.1051/eas:0833038</t>
  </si>
  <si>
    <t>WOS:000262474300037</t>
  </si>
  <si>
    <t>Di Varano, I; Nucciarelli, G; Tosti, G; Busso, M; Strassmeier, KG</t>
  </si>
  <si>
    <t>Di Varano, I.; Nucciarelli, G.; Tosti, G.; Busso, M.; Strassmeier, K. G.</t>
  </si>
  <si>
    <t>MAIN TASKS FOR IRAIT INSTALLATION AT DOME C</t>
  </si>
  <si>
    <t>IRAIT (International Robotic Antarctic Infrared Telescope) is a telescope with an 80 cm aperture, ready for installation at Dome C. Equipped with AMICA (Antarctic Multiband Infrared CAmera), the main focal plane instrument, it will observe in near (1-5 mu) and mid infrared regions (5-28 mu), benefiting from the exceptional site characteristics. The installation will start in December 2007. An overview of interfacing devices and the integration of various IRAIT subsystems are here presented.</t>
  </si>
  <si>
    <t>[Di Varano, I.; Strassmeier, K. G.] AIP, D-14482 Potsdam, Germany</t>
  </si>
  <si>
    <t>Di Varano, I (corresponding author), AIP, D-14482 Potsdam, Germany.</t>
  </si>
  <si>
    <t>10.1051/eas:0833040</t>
  </si>
  <si>
    <t>WOS:000262474300039</t>
  </si>
  <si>
    <t>Guandalini, R; Briguglio, R</t>
  </si>
  <si>
    <t>Guandalini, R.; Briguglio, R.</t>
  </si>
  <si>
    <t>WHY OBSERVE AGB STARS AT MID-IR WAVELENGTHS FROM DOME C?</t>
  </si>
  <si>
    <t>Near- and mid-IR photometry is fundamental in the study of the stellar evolution during the Asymptotic Giant Branch phase. We give here an overview of our studies on this topic that are performed in preparation of the IRAIT/Dome C campaign. We will present also a few cases of variable AGB stars for which Antarctic long time-series observations in mid-IR are important. Finally, we will show one of the first observations made by Small-IRAIT during this winterover.</t>
  </si>
  <si>
    <t>[Guandalini, R.] Univ Perugia, Dipartimento Fis, I-06123 Perugia, Italy</t>
  </si>
  <si>
    <t>guandalini@fisica.unipg.it; runa.briguglio@concordiabase.eu</t>
  </si>
  <si>
    <t>Briguglio, Runa/0000-0002-0495-0543</t>
  </si>
  <si>
    <t>10.1051/eas:0833044</t>
  </si>
  <si>
    <t>WOS:000262474300043</t>
  </si>
  <si>
    <t>Tothill, NFH; Kulesa, CA; Walker, CK; Ashley, MCB; Bonner, C; Cui, X; Everett, J; Feng, L; Hengst, S; Hu, J; Jiang, Z; Lawrence, JS; Li, Y; Luong-Van, D; Moore, AM; Pennypacker, C; Qin, W; Riddle, R; Storey, JWV; Shang, Z; Sun, B; Travouillon, T; Wang, L; Xu, Z; Yang, H; Yan, J; York, DG; Yuan, X; Zhu, Z</t>
  </si>
  <si>
    <t>Tothill, N. F. H.; Kulesa, C. A.; Walker, C. K.; Ashley, M. C. B.; Bonner, C.; Cui, X.; Everett, J.; Feng, L.; Hengst, S.; Hu, J.; Jiang, Z.; Lawrence, J. S.; Li, Y.; Luong-Van, D.; Moore, A. M.; Pennypacker, C.; Qin, W.; Riddle, R.; Storey, J. W. V.; Shang, Z.; Sun, B.; Travouillon, T.; Wang, L.; Xu, Z.; Yang, H.; Yan, J.; York, D. G.; Yuan, X.; Zhu, Z.</t>
  </si>
  <si>
    <t>ASTROPHYSICS FROM DOME A</t>
  </si>
  <si>
    <t>Dome A, the summit of the Antarctic plateau, is expected to have even better atmospheric conditions for ground-based astronomy than Dome C. Instruments to evaluate and exploit Dome A's astronomical potential must operate within logistical constraints, which are currently very stringent. Instrumentation now at Dome A exemplifies the techniques and solutions required by this environment. Future instrumentation and infrastructure will allow the qualities of the site to be exploited much more fully.</t>
  </si>
  <si>
    <t>[Tothill, N. F. H.] Univ Exeter, Sch Phys, Stocker Rd, Exeter EX4 4QL, Devon, England; [Kulesa, C. A.; Walker, C. K.] Steward Observ, Tucson, AZ 85721 USA; [Ashley, M. C. B.; Bonner, C.; Everett, J.; Hengst, S.; Lawrence, J. S.; Luong-Van, D.; Storey, J. W. V.] Univ New South Wales, Sch Phys, Sydney, NSW 2052, Australia; [Cui, X.; Yuan, X.] Nanjing Inst Astron Opt Technol, Nanjing, Jiangsu, Peoples R China; [Feng, L.; Wang, L.; Zhu, Z.] Purple Mt Observ, Nanjing, Jiangsu, Peoples R China; [Hu, J.; Jiang, Z.; Xu, Z.] Natl Astron Observ China, Beijing, Peoples R China; [Li, Y.; Yang, H.] Polar Res Inst China, Shanghai, Peoples R China; [Moore, A. M.] CALTECH, Opt Observ, Pasadena, CA 91125 USA; [Pennypacker, C.] Lawrence Berkeley Natl Lab, Berkeley, CA USA; [Riddle, R.; Travouillon, T.] TMT Project, Pasadena, CA USA; [Shang, Z.] Tianjin Normal Univ, Tianjin, Peoples R China; [York, D. G.] Univ Chicago, Dept Astron &amp; Astrophys, Chicago, IL 60637 USA</t>
  </si>
  <si>
    <t>University of Exeter; University of New South Wales Sydney; Chinese Academy of Sciences; Nanjing Institute of Astronomical Optics &amp; Technology, NAOC, CAS; Purple Mountain Observatory, CAS; Chinese Academy of Sciences; Nanjing Institute of Astronomical Optics &amp; Technology, NAOC, CAS; Chinese Academy of Sciences; National Astronomical Observatory, CAS; Polar Research Institute of China; California Institute of Technology; United States Department of Energy (DOE); Lawrence Berkeley National Laboratory; Tianjin Normal University; University of Chicago</t>
  </si>
  <si>
    <t>Tothill, NFH (corresponding author), Univ Exeter, Sch Phys, Stocker Rd, Exeter EX4 4QL, Devon, England.</t>
  </si>
  <si>
    <t>nfht@astro.ex.ac.uk</t>
  </si>
  <si>
    <t>Tothill, Nicholas/O-2682-2019; Riddle, Reed/AAC-1584-2022; Tothill, Nicholas/M-6379-2016</t>
  </si>
  <si>
    <t>Riddle, Reed/0000-0002-0387-370X; Moore, Anna/0000-0002-2894-6936; Travouillon, Tony/0000-0001-9304-6718; Ashley, Michael/0000-0003-1412-2028; Tothill, Nicholas/0000-0002-9931-5162; Lawrence, Jon/0000-0002-6998-6993</t>
  </si>
  <si>
    <t>10.1051/eas:0833045</t>
  </si>
  <si>
    <t>WOS:000262474300044</t>
  </si>
  <si>
    <t>Zinnecker, H.; Epchtein, N.; Rauer, H.</t>
  </si>
  <si>
    <t>SUMMARY AND CONCLUSIONS OF ARENA-2</t>
  </si>
  <si>
    <t>This is a brief summary of the 2(nd) ARENA conference; including statistical information and a short review of the talks. The conference ended up with the creation of 6 working groups aimed at preparing the final ARENA roadmap in the fields of astronomy and astrophysics where Antarctic atmospheric conditions at Dome C could lead to compelling scientific breakthroughs. The results of their reflections and recommendations will be presented at the third and final ARENA conference to be held in May 2009.</t>
  </si>
  <si>
    <t>[Zinnecker, H.] Astrophys Inst Potsdam, Potsdam, Germany</t>
  </si>
  <si>
    <t>Zinnecker, H (corresponding author), Astrophys Inst Potsdam, Potsdam, Germany.</t>
  </si>
  <si>
    <t>10.1051/eas:0833047</t>
  </si>
  <si>
    <t>WOS:000262474300046</t>
  </si>
  <si>
    <t>Jeffs, P; Lopez, B</t>
  </si>
  <si>
    <t>Jeffs, P.; Lopez, B.</t>
  </si>
  <si>
    <t>INVISIBLE JOURNEY: A JOURNEY THROUGH ICE AND TIME</t>
  </si>
  <si>
    <t>Invisible journey is a one million year journey through ice and through time. The project was initiated by a group of scientists and artists at the international ARENA Large Astronomical Infrastructures at CONCORDIA conference at Roscoff, October 2006, and obtained the label of the International Polar Year in March 2007. The aim of the Invisible journey is to send a message towards the future. This message will take the form of an object which will be deposited in the Antarctic ice-pack. The object will be transported on its slow voyage through the ice-pack, as it migrates from its launch point towards the Antarctic ocean, for a period of similar to 1 million years. The Invisible object is a kind of post-card that we wish to send to our descendants. he messages will be collected from all over the Earth. By this action, we wish to reinforce connections between people, in particular between those of the far North and the far South.</t>
  </si>
  <si>
    <t>[Jeffs, P.] Care of Pete Jeffs, Studio N, F-75020 Paris, France</t>
  </si>
  <si>
    <t>Jeffs, P (corresponding author), Care of Pete Jeffs, Studio N, 83 Rue Bagnolet, F-75020 Paris, France.</t>
  </si>
  <si>
    <t>10.1051/eas:0833048</t>
  </si>
  <si>
    <t>WOS:000262474300047</t>
  </si>
  <si>
    <t>Fujii, T; Oikawa, T; Muraoka, I; Soda, K; Hata, Y</t>
  </si>
  <si>
    <t>Fujii, Tomomi; Oikawa, Tadao; Muraoka, Ikuo; Soda, Kenji; Hata, Yasuo</t>
  </si>
  <si>
    <t>Crystal structure of tetrameric malate dehydrogenase from Antarctic psychrophile</t>
  </si>
  <si>
    <t>ACTA CRYSTALLOGRAPHICA A-FOUNDATION AND ADVANCES</t>
  </si>
  <si>
    <t>biological macromolecules; dehydrogenases; cold adapted enzymes</t>
  </si>
  <si>
    <t>[Fujii, Tomomi; Soda, Kenji; Hata, Yasuo] Kyoto Univ, Inst Chem Res, Uji, Kyoto 6110011, Japan; [Oikawa, Tadao; Muraoka, Ikuo; Soda, Kenji] Kansai Univ, Grad Sch Engn, Suita, Osaka, Japan</t>
  </si>
  <si>
    <t>Kyoto University; Kansai University</t>
  </si>
  <si>
    <t>fujii@scl.kyoto-u.ac.jp</t>
  </si>
  <si>
    <t>INT UNION CRYSTALLOGRAPHY</t>
  </si>
  <si>
    <t>CHESTER</t>
  </si>
  <si>
    <t>2 ABBEY SQ, CHESTER, CH1 2HU, ENGLAND</t>
  </si>
  <si>
    <t>2053-2733</t>
  </si>
  <si>
    <t>ACTA CRYSTALLOGR A</t>
  </si>
  <si>
    <t>Acta Crystallogr. Sect. A</t>
  </si>
  <si>
    <t>S</t>
  </si>
  <si>
    <t>P04.02.81</t>
  </si>
  <si>
    <t>C255</t>
  </si>
  <si>
    <t>C256</t>
  </si>
  <si>
    <t>10.1107/S0108767308091800</t>
  </si>
  <si>
    <t>Chemistry, Multidisciplinary; Crystallography</t>
  </si>
  <si>
    <t>Chemistry; Crystallography</t>
  </si>
  <si>
    <t>VI3WO</t>
  </si>
  <si>
    <t>WOS:000480420702174</t>
  </si>
  <si>
    <t>Liu, XD; Sun, LG; Yin, XB; Wang, YH</t>
  </si>
  <si>
    <t>Liu Xiaodong; Sun Liguang; Yin Xuebin; Wang Yuhong</t>
  </si>
  <si>
    <t>Heavy Metal Distributions and Source Tracing in the Lacustrine Sediments of Dongdao Island, South China Sea</t>
  </si>
  <si>
    <t>ACTA GEOLOGICA SINICA-ENGLISH EDITION</t>
  </si>
  <si>
    <t>heavy metals; elemental geochemistry; ornithogenic sediments; Dongdao Island; South China Sea</t>
  </si>
  <si>
    <t>PEARL RIVER ESTUARY; KING-GEORGE-ISLAND; LAKE-SEDIMENTS; GEOCHEMICAL EVIDENCE; LEAD CONTAMINATION; PENGUIN DROPPINGS; PELAGIC SEDIMENTS; URBAN-ENVIRONMENT; POLLUTION; MERCURY</t>
  </si>
  <si>
    <t>The levels and depth distributions of As, Cd, Cu, Zn, Pb, Hg, Fe and Mn in two sediment cores DY2 and DY4 collected from the Cattle Pond of Dongdao Island, South China Sea, were determined and analyzed with the main objective to identify the sources of these elements and evaluate the corresponding sedimentological and geochemical processes. Lithological characters and sedimentary parameters such as LOI95 degrees C, CaO, LOI550 degrees C and TOC indicate that the depth of 96 cm and 87 cm are the critical points for DY2 and DY4 cores, respectively. As, Cd, Cu, Zn, Hg and P are remarkably enriched in the ornithogenic sediments above the critical depth points; their concentration-versus-depth profiles are similar to those of TOC and LOI550 degrees C the ratios of As, Cd, Cu, Zn, Hg over Ca are significantly correlated with P/Ca. Statistical and comparative analyses of these elements' levels in the ornithogenic sediments of DY2 and DY4 strongly suggest that seabird droppings are the main source of these elements. Additionally, for the upper sediment layers of DY2 and DY4 cores, Fe oxide sorption mechanism, like organic matter, may also play an important role in the abundances of heavy metals. Heavy metal Pb has geochemical characteristics distinctly different from those of As, Cd, Cu, Zn, Hg and P, and its isotope composition indicates an origin of anthropogenic emissions from the surrounding countries. These geochemical characteristics in the orinithogenic sediments of Xisha Islands are compared with the studies in the remote Antarctic and Arctic regions.</t>
  </si>
  <si>
    <t>[Liu Xiaodong; Sun Liguang; Yin Xuebin] Univ Sci &amp; Technol China, Inst Polar Environm, Hefei 230026, Anhui, Peoples R China; [Wang Yuhong] NIH, Bethesda, MD 20892 USA</t>
  </si>
  <si>
    <t>Chinese Academy of Sciences; University of Science &amp; Technology of China, CAS; National Institutes of Health (NIH) - USA</t>
  </si>
  <si>
    <t>Sun, LG (corresponding author), Univ Sci &amp; Technol China, Inst Polar Environm, Hefei 230026, Anhui, Peoples R China.</t>
  </si>
  <si>
    <t>slg@ustc.edu.cn</t>
  </si>
  <si>
    <t>WILEY</t>
  </si>
  <si>
    <t>1000-9515</t>
  </si>
  <si>
    <t>1755-6724</t>
  </si>
  <si>
    <t>ACTA GEOL SIN-ENGL</t>
  </si>
  <si>
    <t>Acta Geol. Sin.-Engl. Ed.</t>
  </si>
  <si>
    <t>V10QW</t>
  </si>
  <si>
    <t>WOS:000207479500009</t>
  </si>
  <si>
    <t>Zhao, P; Chen, JM; Xiao, D; Nan, SL; Zou, Y; Zhou, BT</t>
  </si>
  <si>
    <t>Zhao Ping; Chen Junming; Xiao Dong; Nan Sulan; Zou Yan; Zhou Botao</t>
  </si>
  <si>
    <t>Summer Asian-Pacific Oscillation and Its Relationship with Atmospheric Circulation and Monsoon Rainfall</t>
  </si>
  <si>
    <t>ACTA METEOROLOGICA SINICA</t>
  </si>
  <si>
    <t>Asian-Pacific oscillation (APO); atmospheric circulation; monsoon rainfall</t>
  </si>
  <si>
    <t>INTERANNUAL VARIABILITY; NORTH PACIFIC; CLIMATE; TELECONNECTION; TEMPERATURE; AMERICA</t>
  </si>
  <si>
    <t>Using the ERA-40 data and numerical simulations, this study investigated the teleconnection over the extratropical Asian-Pacific region and its relationship with the Asian monsoon rainfall and the climatological characteristics of tropical cyclones over the western North Pacific, and analyzed impacts of the Tibetan Plateau (TP) heating and Pacific sea surface temperature (SST) on the teleconnection. The Asian-Pacific oscillation (APO) is defined as a zonal seesaw of the tropospheric temperature in the midlatitudes of the Asian-Pacific region. When the troposphere is cooling in the midlatitudes of the Asian continent, it is warming in the midlatitudes of the central and eastern North Pacific; and vice versa. The APO also appears in the stratosphere, but with a reversed phase. Used as an index of the thermal contrast between Asia and the North Pacific, it provides a new way to explore interactions between the Asian and Pacific atmospheric circulations. The APO index exhibits the interannual and interdecadal variability. It shows a downward trend during 1958-2001., indicating a weakening of the thermal contrast, and shows a 5.5-yr oscillation period. The formation of the APO is associated with the zonal vertical circulation caused by a difference in the solar radiative heating between the Asian continent and the North Pacific. The numerical simulations further reveal that the summer TP beating enhances the local tropospheric temperature and upward motion, and then strengthens downward motion and decreases the tropospheric temperature over the central and eastern North Pacific. This leads to the formation of the APO. The Pacific decadal oscillation and El Nino/La Nina over the tropical eastern Pacific do not exert; strong influences on the APO. When there is an anomaly in the summer APO, the South Asian high, the westerly jet over Eurasia, the tropical easterly jet over South Asia, and the subtropical high over the North Pacific change significantly, with anomalous Asian monsoon rainfall and tropical cyclone activities over the western North Pacific. The summer cooling along the upper and middle reaches of the Yangtze River in the past 40 more years is related to the APO, which is possibly. a regional response to the decadal variability of the global atmospheric circulation. An anomalous signal of the APO may propagate to the Arctic and Antarctic. Moreover, the APO also appears in other seasons.</t>
  </si>
  <si>
    <t>[Zhao Ping] Chinese Acad Meteorol Sci, State Key Lab Severe Weather, Beijing 100081, Peoples R China; [Zhao Ping; Chen Junming; Xiao Dong; Nan Sulan; Zou Yan] Chinese Acad Meteorol Sci, Inst Climate Syst, Beijing 100081, Peoples R China; [Zhou Botao] China Meteorol Adm, Natl Climate Ctr, Beijing 100081, Peoples R China</t>
  </si>
  <si>
    <t>China Meteorological Administration; Chinese Academy of Meteorological Sciences (CAMS); China Meteorological Administration; Chinese Academy of Meteorological Sciences (CAMS); China Meteorological Administration</t>
  </si>
  <si>
    <t>Zhao, P (corresponding author), Chinese Acad Meteorol Sci, State Key Lab Severe Weather, Beijing 100081, Peoples R China.</t>
  </si>
  <si>
    <t>zhaoping@cams.cma.gov.cn</t>
  </si>
  <si>
    <t>Chinese COPES [GYHY200706005]; State Key Laboratory of Severe Weather of Chinese Academy of Meteorological Sciences [2008LASWZI01]</t>
  </si>
  <si>
    <t>Chinese COPES; State Key Laboratory of Severe Weather of Chinese Academy of Meteorological Sciences(Chinese Academy of Sciences)</t>
  </si>
  <si>
    <t>Supported jointly by the Chinese COPES project; (GYHY200706005) and basic research project for the State Key Laboratory of Severe Weather of Chinese Academy of Meteorological Sciences (2008LASWZI01).</t>
  </si>
  <si>
    <t>SPRINGER HEIDELBERG</t>
  </si>
  <si>
    <t>HEIDELBERG</t>
  </si>
  <si>
    <t>TIERGARTENSTRASSE 17, D-69121 HEIDELBERG, GERMANY</t>
  </si>
  <si>
    <t>0894-0525</t>
  </si>
  <si>
    <t>2191-4788</t>
  </si>
  <si>
    <t>ACTA METEOROL SIN</t>
  </si>
  <si>
    <t>Acta Meteorol. Sin.</t>
  </si>
  <si>
    <t>394AG</t>
  </si>
  <si>
    <t>WOS:000262417000006</t>
  </si>
  <si>
    <t>Zhang, YH; Yu, XL; Wang, F</t>
  </si>
  <si>
    <t>Zhang Yanhui; Yu Xiaolin; Wang Fan</t>
  </si>
  <si>
    <t>Origins and pathways of the subsurface and intermediate water masses of the Indonesian Throughflow derived from historical and Argo data</t>
  </si>
  <si>
    <t>ACTA OCEANOLOGICA SINICA</t>
  </si>
  <si>
    <t>Indonesian Throughflow; subsurface water; intermediate water; origin; pathway</t>
  </si>
  <si>
    <t>INDIAN-OCEAN; NORTH PACIFIC; SEAS; APPEAR</t>
  </si>
  <si>
    <t>On the basis of Argo data and historic temperature/salinity data from the World Ocean Database 2001 (WOD01 origins and spreading pathways of the subsurface and intermediate water masses in the Indonesian Throughflow (ITF) region were discussed by analyzing distributions of salinity on representative isopycnal layers. Results were shown that, Subsurface water mostly comes from the North Pacific Ocean while the intermediate water originates from both the North and South Pacific Ocean, even possibly from the Indian Ocean. Spreading through tire Sulawesi Sea, the Makassar Strait, and the Flores Sea, the North Pacific subsurface water and the North Pacific Intermediate water dominate the western part of the Indonesian Archipelago. Furthermore its the depth increases, the features of the North Pacific sourced water masses become more obvious. In the eastern part of the waters, high salinity South Pacific subsurface water is blocked by a strong salinity front between Halmahera and New Guinea. Intermediate water in the eastern interior region owns salinity higher than the North Pacific intermediate water and the antarctic intermediate water (AAIW), possibly coming from the vertical mixing between subsurface water and the AAIW from the Pacific Ocean, and possibly coming front the northward extending of the AAIW front the Indian Ocean as well.</t>
  </si>
  <si>
    <t>[Zhang Yanhui; Yu Xiaolin; Wang Fan] Chinese Acad Sci, Inst Oceanol, Key Lab Ocean Circulat &amp; Waves, Qingdao 266071, Peoples R China; [Zhang Yanhui; Yu Xiaolin] Chinese Acad Sci, Grad Sch, Beijing 100049, Peoples R China</t>
  </si>
  <si>
    <t>Chinese Academy of Sciences; Institute of Oceanology, CAS; Chinese Academy of Sciences; University of Chinese Academy of Sciences, CAS</t>
  </si>
  <si>
    <t>Wang, F (corresponding author), Chinese Acad Sci, Inst Oceanol, Key Lab Ocean Circulat &amp; Waves, Qingdao 266071, Peoples R China.</t>
  </si>
  <si>
    <t>fwang@ms.qdio.ac.cn</t>
  </si>
  <si>
    <t>Wang, Fan/J-5119-2012; Zhang, Yanhui/L-5680-2017</t>
  </si>
  <si>
    <t>Wang, Fan/0000-0001-5932-7567;</t>
  </si>
  <si>
    <t>National Basic Research Program of China [2006CB403601]; National Natural Science Foundation of China [40576016]</t>
  </si>
  <si>
    <t>National Basic Research Program of China(National Basic Research Program of China); National Natural Science Foundation of China(National Natural Science Foundation of China (NSFC))</t>
  </si>
  <si>
    <t>Foundation item: This study is supported by the National Basic Research Program of China (973 program) under contract No. 2006CB403601 and the National Natural Science Foundation of China under contract No. 40576016.</t>
  </si>
  <si>
    <t>SPRINGER</t>
  </si>
  <si>
    <t>233 SPRING ST, NEW YORK, NY 10013 USA</t>
  </si>
  <si>
    <t>0253-505X</t>
  </si>
  <si>
    <t>1869-1099</t>
  </si>
  <si>
    <t>ACTA OCEANOL SIN</t>
  </si>
  <si>
    <t>Acta Oceanol. Sin.</t>
  </si>
  <si>
    <t>372CG</t>
  </si>
  <si>
    <t>WOS:000260878500002</t>
  </si>
  <si>
    <t>He, JH; Ma, H; Chen, LQ; Xiang, BQ; Zeng, XZ; Yin, MD; Zeng, W</t>
  </si>
  <si>
    <t>He Jianhua; Ma Hao; Chen Liqi; Xiang Baoqiang; Zeng Xianzhang; Yin Mingduan; Zeng Wenyi</t>
  </si>
  <si>
    <t>The investigation on particulate organic carbon fluxes with disequilibria between thorium-234 and uranium-238 in the Prydz Bay, the Southern Ocean</t>
  </si>
  <si>
    <t>POC fluxes; disequilibria between thorium-234 and uranium-238; Prydz Bay; Southern Ocean</t>
  </si>
  <si>
    <t>POC EXPORT; EQUATORIAL PACIFIC; EUPHOTIC ZONE; PARTICLE-FLUX; SEA; SEDIMENT</t>
  </si>
  <si>
    <t>Dissolved and particulate thorium-234, particulate organic carbon in the upper 150 in of water columns from five stations in the Prydz Bay, the Southern Ocean were determined during the 22nd Chinese National Antarctic Research Expedition (from November 2005 to March 2006). The disequilibria between thorium-234 and its parent uranium-238 in upper layer was used to derive the averaged residence time of thorium-234, which decreased along with the latitude to the south and a minimum value, 1 similar to 8 d for particulate thorium-234 and 29 similar to 48 d for dissolved thorium-234, appeared at the medium latitude station, and the export fluxes of thorium-234 were calculated too and a maximum value, 0.35 similar to 0.63 Bq/(m(3) . d) for the particulate thorium-234 and 0. 44 similar to 0. 65 Bq/(m(3) . d) for the dissolved thorium-234, appeared at the same station. The export fluxes of particulate organic carbon at different water columns were derived by two methods with irreversible scavenging model, and the averaged values were 104.7 mmol/ (m(2) . d) (E method) and 120.6 mmol/(m(2) . d) (B method), respectively, indicating that a relatively high new production would exist in summer in the Prydz Bay where it will play a potential significant role in sequestering the absorption CO2 to deeper ocean.</t>
  </si>
  <si>
    <t>[He Jianhua; Ma Hao; Chen Liqi; Zeng Xianzhang; Yin Mingduan; Zeng Wenyi] SOA, Inst Oceanog 3, Key Lab Global Change &amp; Marine Atmospher Chem, Xiamen 361005, Peoples R China; [Ma Hao] Tsinghua Univ, Dept Engn Phys, Beijing 100084, Peoples R China; [Xiang Baoqiang] SOA, Inst Oceanog 1, Key Lab Marine Sci &amp; Numer Modeling, Inst Oceanog 1, Qingdao 266061, Peoples R China</t>
  </si>
  <si>
    <t>Third Institute of Oceanography, Ministry of Natural Resources; Tsinghua University; First Institute of Oceanography, Ministry of Natural Resources</t>
  </si>
  <si>
    <t>He, JH (corresponding author), SOA, Inst Oceanog 3, Key Lab Global Change &amp; Marine Atmospher Chem, Xiamen 361005, Peoples R China.</t>
  </si>
  <si>
    <t>tiosoa@163.com</t>
  </si>
  <si>
    <t>Hao, Ma/AAT-3501-2021; Xiang, Baoqiang/O-1890-2019</t>
  </si>
  <si>
    <t>304TL</t>
  </si>
  <si>
    <t>WOS:000256131900003</t>
  </si>
  <si>
    <t>Gao, ZY; Chen, LQ; Gao, Y</t>
  </si>
  <si>
    <t>Gao Zhongyong; Chen Liqi; Gao Yuan</t>
  </si>
  <si>
    <t>Air-sea carbon fluxes and their controlling factors in the Prydz Bay in the Antarctic</t>
  </si>
  <si>
    <t>Prydz Bay; carbon flux; carbon dioxide; controlling factors</t>
  </si>
  <si>
    <t>SOUTHERN-OCEAN; GAS-EXCHANGE; WIND-SPEED; CO2; WEDDELL; SUMMER; OXYGEN; IRON</t>
  </si>
  <si>
    <t>The Prydz Bay in the Antarctic is an important area in the Southern Ocean due to its unique geographic feature. It plays an important role in the carbon cycle in the Southern Ocean. To investigate the distributions of carbon dioxide in the atmosphere and surface sea-water and its air-sea exchange rates in this region, the Chinese National Antarctic Research Expedition (CHINARE) had set up several sections in the Prydz Bay. Here we present the results from the CHINARE-XVI cruises were presented onboard R/V Xuelong from November 1999 to April 2000 and the main driving forces were discussed controlling the distributions of partial pressure of carbon dioxide. According to the partial pressure of carbon dioxide distributions, the Prydz Bay call be divided into the inside and outside regions. The partial pressure of carbon dioxide was low in the inside region but higher in the outside region (luring the measurement period. This distribution had a good negative correlation with the concentrations of chlorophyll-a in general, suggesting that the partial pressure of carbon dioxide was substantially affected by biological production. The results also indicate that the biological production is most likely the main driving force in the marginal ice zone in the Southern Ocean in summer. However, in the Antarctic divergence sector of the Prydz Bay (about 64 degrees S), the hydrological processes become the controlling factor as the sea surface partial pressure of carbon dioxide is much higher than the atmospheric one due to the upwelling of the high DIC CDW, and this made the outside of Prydz Bay a source of carbon dioxide. Oil the basis of the calculations, the CO, flux in January (austral summer) was -3.23 mmol/ (m(2) . d) in the inner part of Prydz Bay, i.e., a sink of atmospheric CO2, and was 0.62 mmol/(m(2) . d) in the outside part of the bay, a weak source of atmospheric CO2. The average air-sea flux of CO2 in the Prydz Bay was 2.50 mmol/ (m(2) . d).</t>
  </si>
  <si>
    <t>[Gao Zhongyong; Chen Liqi; Gao Yuan] State Ocean Adm, Inst Oceanog 3, Key Lab Global Change &amp; Marine Atmospher Chem, Xiamen 361005, Peoples R China; [Chen Liqi] Chinese Arctic &amp; Antarctic Adm, Beijing 100860, Peoples R China; [Gao Yuan] Rutgers State Univ, Dept Earth &amp; Environm Sci, Newark, NJ 07102 USA</t>
  </si>
  <si>
    <t>Third Institute of Oceanography, Ministry of Natural Resources; Rutgers University System; Rutgers University New Brunswick; Rutgers University Newark</t>
  </si>
  <si>
    <t>Gao, ZY (corresponding author), State Ocean Adm, Inst Oceanog 3, Key Lab Global Change &amp; Marine Atmospher Chem, Xiamen 361005, Peoples R China.</t>
  </si>
  <si>
    <t>zgao@263.net</t>
  </si>
  <si>
    <t>Chen, Lei/HMD-2646-2023; Chen, Long-Qing/I-7536-2012</t>
  </si>
  <si>
    <t>Chen, Lei/0000-0003-3718-9268; Chen, Long-Qing/0000-0003-3359-3781</t>
  </si>
  <si>
    <t>ONE NEW YORK PLAZA, SUITE 4600, NEW YORK, NY, UNITED STATES</t>
  </si>
  <si>
    <t>350WD</t>
  </si>
  <si>
    <t>WOS:000259383400014</t>
  </si>
  <si>
    <t>Lee, C; Kim, YJ; Lee, H; Choi, BC</t>
  </si>
  <si>
    <t>Kim, YJ; Platt, U</t>
  </si>
  <si>
    <t>Lee, Chulkyu; Kim, Young J.; Lee, Hanlim; Choi, Byeong C.</t>
  </si>
  <si>
    <t>MAX-DOAS measurements of CIO, SO2 and NO2 in the mid-latitude coastal boundary layer and a power plant plume</t>
  </si>
  <si>
    <t>ADVANCED ENVIRONMENTAL MONITORING</t>
  </si>
  <si>
    <t>6th International Symposium on Advanced Environmental Monitoring</t>
  </si>
  <si>
    <t>JUN 27-30, 2006</t>
  </si>
  <si>
    <t>Heidelberg, GERMANY</t>
  </si>
  <si>
    <t>air pollution; chlorine monoxide; DOAS; remote sensing</t>
  </si>
  <si>
    <t>OPTICAL-ABSORPTION SPECTROSCOPY; ROTATIONAL RAMAN-SCATTERING; ANTARCTIC OZONE; BROMINE MONOXIDE; POLAR SUNRISE; CROSS-SECTION; NM; TROPOSPHERE; DEPLETION; AIR</t>
  </si>
  <si>
    <t>Remote sensing techniques have been preferred for measurements of atmospheric trace gases because they allow direct measurement without pre- and/or post-treatment in the laboratory. UV-visible absorption measurement techniques have been used for ground-based remote sensing of atmospheric trace species. The multi-axis differential optical absorption spectroscopy (MAX-DOAS) technique, one of the remote sensing techniques for air quality measurement, uses scattered sunlight as a light source and measures it at various elevation angles by sequential scanning with a stepper motor. Ground-based MAX-DOAS measurements were carried out to investigate CIO, SO2 and NO2 levels in the mid-latitude coastal boundary layer from 27 May to 9 June, 2005, and SO2 and NO2 levels in fossil fuel power plant plumes from 10 to 14 January 2004. MAX-DOAS data were analyzed to identify and quantify CIO, SO2 and NO2 by utilizing their specific structured absorption features in the UV region. Differential slant column densities (dSCDs) for CIO, SO2 and NO2 were as high as 7.3 x 10(14), 2.4 x 10(16) and 6.7 x 10(16) molecules/cm(2) (with mean dSCDs of 2.3 x 10(14), 8.0 x 10(15) and 1.2 x 10(16) molecules/cm(2)), respectively, at a 3 degrees elevation angle in the coastal boundary layer during the measurement period. Based on the assumption that the trace gases were well mixed in the I km height of the boundary layer, estimates of the mean mixing ratios of CIO, SO 2 and NO2 during the measurement period were 8.4 (+/- 4.3), 296 (+/- 233) and 305 (+/- 284) pptv, respectively. MAX-DOAS measurement of the power plant plumes involved making vertical scans through multiple elevation angles perpendicular to the plume dispersion direction to yield cross-sectional distributions of CIO, SO2 and NO2 in the plume in terms of SCDs. Mixing ratios based on the estimated cross-sections of the plumes were 15.5 (CIO), 354 (SO2) and 210 (NO2) ppbv in the plumes of the fossil fuel power plant.</t>
  </si>
  <si>
    <t>[Lee, Chulkyu; Kim, Young J.; Lee, Hanlim] GIST, Dept Environm Sci &amp; Engn, Adv Environm Monitoring Res Ctr ADEMRC, 1 Oryong Dong, Kwangju 500712, South Korea; [Lee, Chulkyu] Univ Bremen, Inst Environm Phys &amp; Remote Sensing, D-28334 Bremen, Germany; [Choi, Byeong C.] Meteorol Res Inst, Seoul 156720, South Korea</t>
  </si>
  <si>
    <t>Gwangju Institute of Science &amp; Technology (GIST); University of Bremen</t>
  </si>
  <si>
    <t>Lee, C (corresponding author), GIST, Dept Environm Sci &amp; Engn, Adv Environm Monitoring Res Ctr ADEMRC, 1 Oryong Dong, Kwangju 500712, South Korea.</t>
  </si>
  <si>
    <t>Korea Science and Engineering Foundation through the Advanced Environmental Monitoring Research Center (ADEMRC); Gwangju Institute of Science and Technology (GIST)</t>
  </si>
  <si>
    <t>this work was supported by the Korea Science and Engineering Foundation through the Advanced Environmental Monitoring Research Center (ADEMRC) of the Gwangju Institute of Science and Technology (GIST)</t>
  </si>
  <si>
    <t>DORDRECHT</t>
  </si>
  <si>
    <t>PO BOX 17, 3300 AA DORDRECHT, NETHERLANDS</t>
  </si>
  <si>
    <t>978-1-4020-6363-3</t>
  </si>
  <si>
    <t>10.1007/978-1-4020-6364-0_3</t>
  </si>
  <si>
    <t>Engineering, Environmental; Environmental Sciences</t>
  </si>
  <si>
    <t>Engineering; Environmental Sciences &amp; Ecology</t>
  </si>
  <si>
    <t>BHA41</t>
  </si>
  <si>
    <t>WOS:000251847700003</t>
  </si>
  <si>
    <t>Watkins, JG; Barabasz, A</t>
  </si>
  <si>
    <t>Watkins, J. G.; Barabasz, A.</t>
  </si>
  <si>
    <t>Advanced Hypnotherapy: Hypnodynamic Techniques</t>
  </si>
  <si>
    <t>ADVANCED HYPNOTHERAPY: HYPNODYNAMIC TECHNIQUES</t>
  </si>
  <si>
    <t>Book</t>
  </si>
  <si>
    <t>HYPNOTIC AGE REGRESSION; RESTRICTED ENVIRONMENTAL STIMULATION; IRRITABLE-BOWEL-SYNDROME; MULTIPLE PERSONALITY; TEMPORAL ORIENTATION; ANTARCTIC ISOLATION; IMAGINATIVE INVOLVEMENT; BORDERLINE PATIENTS; PSYCHOTIC-PATIENTS; SKIN-CONDUCTANCE</t>
  </si>
  <si>
    <t>TAYLOR &amp; FRANCIS LTD</t>
  </si>
  <si>
    <t>11 NEW FETTER LANE, LONDON EC4P 4EE, ENGLAND</t>
  </si>
  <si>
    <t>978-1-135-91247-5</t>
  </si>
  <si>
    <t>Psychology, Psychoanalysis</t>
  </si>
  <si>
    <t>Book Citation Index – Social Sciences &amp; Humanities (BKCI-SSH)</t>
  </si>
  <si>
    <t>Psychology</t>
  </si>
  <si>
    <t>BAQ10</t>
  </si>
  <si>
    <t>WOS:000305154900015</t>
  </si>
  <si>
    <t>Gong, XF; Xia, LR; Zhang, R</t>
  </si>
  <si>
    <t>Atad-Ettedgui, E; Lemke, D</t>
  </si>
  <si>
    <t>Gong, Xuefei; Xia, Lirong; Zhang, Ru</t>
  </si>
  <si>
    <t>Design and analysis of cushioning packing box for Chinese Small Telescope Array</t>
  </si>
  <si>
    <t>ADVANCED OPTICAL AND MECHANICAL TECHNOLOGIES IN TELESCOPES AND INSTRUMENTATION, PTS 1-3</t>
  </si>
  <si>
    <t>Proceedings of SPIE</t>
  </si>
  <si>
    <t>International Conference on Advanced Optical and Mechanical Technologies in Telescopes and Instrumentation</t>
  </si>
  <si>
    <t>JUN 23-28, 2008</t>
  </si>
  <si>
    <t>Marseille, FRANCE</t>
  </si>
  <si>
    <t>Antarctic telescope; Dome A; Packaging dynamics; Finite element analysis</t>
  </si>
  <si>
    <t>Dome C and A of the Antarctic plateau is Considered to be the best astronomical site on the earth because of extremely cold, dry weather, low wind speed and atmospheric turbulence overhead. CSTAR (Chinese Small Telescope ARray), which is composed of four small telescopes with 100mm clear aperture. has been accomplished in August and shipped to Antarctic at November 2007. Then, from the Zhon-shan station, Chinese traverse team sledged it by snow tractor to Dome A through about 20 days hard trip and erected in January 2008. In this paper, the vibration proof design of packing box of CSTAR is introduced based on vibration theory and the analysis of power spectrum density is done to verify parameter selection. Finally, transport experiment is done to prove that packing box is Suitable for the inclement and various transport condition.</t>
  </si>
  <si>
    <t>[Gong, Xuefei; Xia, Lirong; Zhang, Ru] Chinese Acad Sci, Natl Astron Observ, Nanjing Inst Astron Opt &amp; Technol, Nanjing 210042, Peoples R China</t>
  </si>
  <si>
    <t>Chinese Academy of Sciences; National Astronomical Observatory, CAS; Nanjing Institute of Astronomical Optics &amp; Technology, NAOC, CAS</t>
  </si>
  <si>
    <t>Gong, XF (corresponding author), Chinese Acad Sci, Natl Astron Observ, Nanjing Inst Astron Opt &amp; Technol, 188 Bancang St, Nanjing 210042, Peoples R China.</t>
  </si>
  <si>
    <t>xfgong@niaot.ac.cn</t>
  </si>
  <si>
    <t>SPIE-INT SOC OPTICAL ENGINEERING</t>
  </si>
  <si>
    <t>BELLINGHAM</t>
  </si>
  <si>
    <t>1000 20TH ST, PO BOX 10, BELLINGHAM, WA 98227-0010 USA</t>
  </si>
  <si>
    <t>0277-786X</t>
  </si>
  <si>
    <t>1996-756X</t>
  </si>
  <si>
    <t>978-0-8194-7228-1</t>
  </si>
  <si>
    <t>PROC SPIE</t>
  </si>
  <si>
    <t>1-3</t>
  </si>
  <si>
    <t>10.1117/12.789208</t>
  </si>
  <si>
    <t>Engineering, Aerospace; Astronomy &amp; Astrophysics; Optics; Physics, Applied</t>
  </si>
  <si>
    <t>Engineering; Astronomy &amp; Astrophysics; Optics; Physics</t>
  </si>
  <si>
    <t>BII90</t>
  </si>
  <si>
    <t>WOS:000259919200133</t>
  </si>
  <si>
    <t>Luong-Van, DM; Ashley, MCB; Everett, JR; Lawrence, JS; Storey, JWV</t>
  </si>
  <si>
    <t>Bridger, A; Radziwill, NM</t>
  </si>
  <si>
    <t>Luong-Van, Daniel M.; Ashley, Michael C. B.; Everett, Jon R.; Lawrence, Jon S.; Storey, John W. V.</t>
  </si>
  <si>
    <t>PLATO control and robotics</t>
  </si>
  <si>
    <t>ADVANCED SOFTWARE AND CONTROL FOR ASTRONOMY II, PTS 1 &amp; 2</t>
  </si>
  <si>
    <t>PROCEEDINGS OF THE SOCIETY OF PHOTO-OPTICAL INSTRUMENTATION ENGINEERS (SPIE)</t>
  </si>
  <si>
    <t>2nd Conference on Advanced Software and Control for Astronomy</t>
  </si>
  <si>
    <t>JUN 26-28, 2008</t>
  </si>
  <si>
    <t>Astronomy; Astronomical observatory; Site testing; Automation; Robotics; Control</t>
  </si>
  <si>
    <t>PLATO, the 'PLATeau Observatory', is a robotic Antarctic observatory developed by UNSW for deployment to Dome A, the highest point on the Antarctic plateau. PLATO is designed to run autonomously for up to a year, providing power, communications and thermal management for a suite of scientific and site-testing instruments. To achieve this degree of autonomy, multiple-redundant Linux-based 'supervisor' computers, each with their own watchdog-timer and Iridium satellite-modem, communicate with each other and with the outside world. The active supervisor computer monitors and controls the PLATO power distribution, thermal and engine management subsystems via a CAN (Control Area Network) bus. High-bandwidth communication between the instruments and the Supervisor computers is via a 100 Mbps Local Area Network. Data is stored in cold-verified flash memory. The PLATO computers monitor up to 140 analog channels and distribute electrical power and heating to 96 current-monitored channels via an intelligent load-shedding algorithm.</t>
  </si>
  <si>
    <t>[Luong-Van, Daniel M.; Ashley, Michael C. B.; Everett, Jon R.; Lawrence, Jon S.; Storey, John W. V.] Univ New S Wales, Sch Phys, Sydney, NSW 2052, Australia</t>
  </si>
  <si>
    <t>Luong-Van, DM (corresponding author), Univ New S Wales, Sch Phys, Sydney, NSW 2052, Australia.</t>
  </si>
  <si>
    <t>daniel@phys.unsw.edu.au</t>
  </si>
  <si>
    <t>Lawrence, Jon/0000-0002-6998-6993; Ashley, Michael/0000-0003-1412-2028</t>
  </si>
  <si>
    <t>978-0-8194-7229-8</t>
  </si>
  <si>
    <t>P SOC PHOTO-OPT INS</t>
  </si>
  <si>
    <t>70192U</t>
  </si>
  <si>
    <t>10.1117/12.788557</t>
  </si>
  <si>
    <t>Automation &amp; Control Systems; Astronomy &amp; Astrophysics; Instruments &amp; Instrumentation</t>
  </si>
  <si>
    <t>BIO24</t>
  </si>
  <si>
    <t>WOS:000261330600095</t>
  </si>
  <si>
    <t>Damiani, A; Benedetti, E; Storini, M; Rafanelli, C</t>
  </si>
  <si>
    <t>Damiani, A.; Benedetti, E.; Storini, M.; Rafanelli, C.</t>
  </si>
  <si>
    <t>Italian polar data center for capacity building associated with the IHY</t>
  </si>
  <si>
    <t>ADVANCES IN SPACE RESEARCH</t>
  </si>
  <si>
    <t>metadata; polar sciences; data center; Antarctica</t>
  </si>
  <si>
    <t>The International Heliophysical Year offers a good opportunity to develop and coordinate studies on the Sun-Earth system by using a large variety of simultaneous data obtained by satellite/spacecraft and ground based instruments. Among these data we recall the ones coming from solar and interplanetary medium observations, auroral, neutron monitor, geomagnetic field, ionospheric, meteorological, and other atmospheric observatories. In this context, an Information System for the Italian Research in Antarctica has started in 2003, aiming to collect information on the scientific research projects funded by the National Antarctic Research Program of Italy since its establishment (1985). It belongs to Joint Committee on Antarctic Data Management of Scientific Committee on Antarctic Research as Italian Antarctic Data Center. This project, as the Italian Polar Database, gathers also information on research activities conducted in North Pole regions. This Information System can be a relevant resource for capacity building associated with the International Heliophysical Year, especially for people involved in interdisciplinary researches. We describe the present status of the Italian Polar Data Center and its potential use. (C) 2007 COSPAR. Published by Elsevier Ltd. All rights reserved.</t>
  </si>
  <si>
    <t>[Damiani, A.; Benedetti, E.] CNR, Ist Sci Atmosfera &amp; Clima, Area Ric Roma Tor Vergata, I-00133 Rome, Italy; [Damiani, A.; Storini, M.] INAF, Ist Fis Spazio Interplanetario, Area Ric Roma Tor Vergata, I-00133 Rome, Italy; [Rafanelli, C.] CNR, Ist Acust Om Corbino, Area Ric Roma Tor Vergata, ICES, I-00133 Rome, Italy</t>
  </si>
  <si>
    <t>University of Rome Tor Vergata; Consiglio Nazionale delle Ricerche (CNR); Istituto di Scienze dell'Atmosfera e del Clima (ISAC-CNR); Istituto Nazionale Astrofisica (INAF); University of Rome Tor Vergata; University of Rome Tor Vergata; Consiglio Nazionale delle Ricerche (CNR)</t>
  </si>
  <si>
    <t>Damiani, A (corresponding author), CNR, Ist Sci Atmosfera &amp; Clima, Area Ric Roma Tor Vergata, Via Fosso Cavaliere 100, I-00133 Rome, Italy.</t>
  </si>
  <si>
    <t>a.damiani@isac.cnr.it</t>
  </si>
  <si>
    <t>Damiani, Alessandro/X-4677-2019</t>
  </si>
  <si>
    <t>Damiani, Alessandro/0000-0003-3014-6193</t>
  </si>
  <si>
    <t>ELSEVIER SCI LTD</t>
  </si>
  <si>
    <t>THE BOULEVARD, LANGFORD LANE, KIDLINGTON, OXFORD OX5 1GB, OXON, ENGLAND</t>
  </si>
  <si>
    <t>0273-1177</t>
  </si>
  <si>
    <t>ADV SPACE RES</t>
  </si>
  <si>
    <t>Adv. Space Res.</t>
  </si>
  <si>
    <t>10.1016/j.asr.2007.01.046</t>
  </si>
  <si>
    <t>Engineering, Aerospace; Astronomy &amp; Astrophysics; Geosciences, Multidisciplinary; Meteorology &amp; Atmospheric Sciences</t>
  </si>
  <si>
    <t>Engineering; Astronomy &amp; Astrophysics; Geology; Meteorology &amp; Atmospheric Sciences</t>
  </si>
  <si>
    <t>268OZ</t>
  </si>
  <si>
    <t>WOS:000253590400029</t>
  </si>
  <si>
    <t>Young, GC</t>
  </si>
  <si>
    <t>Young, G. C.</t>
  </si>
  <si>
    <t>Relationships of tristichopterids (osteolepiform lobe-finned fishes) from the Middle-Late Devonian of East Gondwana</t>
  </si>
  <si>
    <t>ALCHERINGA</t>
  </si>
  <si>
    <t>tristichopterid osteolepiform fish; Devonian; Canowindra; Australia; Antarctica; morphology; phylogeny; biogeography</t>
  </si>
  <si>
    <t>NEW-SOUTH-WALES; AZTEC SILTSTONE; AUSTRALIA; SARCOPTERYGII; VICTORIA; ANTARCTICA; CANOWINDRA; TETRAPOD; PLACODERMI; EVOLUTION</t>
  </si>
  <si>
    <t>Two well-preserved articulated tristichopterids are known from the Canowindra fossil fish locality (Frasnian) in central New South Wales: Mandageria Johanson Ahlberg, 1997 and Cabonnichthys Ahlberg Johanson, 1997. Two other large tristichopterids are Notorhizodon Young et al., 1992 from the Aztec Siltstone fauna of Antarctica (Givetian), and the Famennian Eusthenodon Jarvik, 1952, first described from East Greenland and recently identified in eastern Australia. Relationships of the East Gondwana tristichopterids were previously assessed as Notorhizodon [Platycephalichthys [Cabonnichthys [Mandageria [Eusthenodon]]]], with no endemic Gondwanan clade, and more basal tristichopterids (Tristichopterus, Eusthenopteron, Jarvikina) being Northern Hemisphere forms. This suggested that the group may have originated in Laurussia, with advanced tristichopterids later reaching Gondwana (Middle-Late Devonian). Reconsideration of evidence from structure of the palate and scale morphology suggests an alternative phylogeny, with an endemic Gondwanan clade (subfamily Mandageriidae nov.) comprising at least three genera: Cabonnichthys and Mandageria from Canowindra, an undescribed tristichopterid from Eden, NSW, and possibly Notorhizodon from Antarctica. Distinctive isolated scales of 'mandageriid' type are illustrated from the Antarctic Aztec Siltstone assemblage and contrasted with typical tristichopterid scales, including new examples illustrated from the Givetian Bunga beds, NSW. Biogeographic implications include a possible Gondwanan origin for tristichopterids.</t>
  </si>
  <si>
    <t>Australian Natl Univ, Res Sch Earth Sci, Canberra, ACT 2600, Australia</t>
  </si>
  <si>
    <t>Australian National University</t>
  </si>
  <si>
    <t>Young, GC (corresponding author), Australian Natl Univ, Res Sch Earth Sci, GPO Box 4, Canberra, ACT 2600, Australia.</t>
  </si>
  <si>
    <t>gyoung@ems.anu.edu.au</t>
  </si>
  <si>
    <t>ABINGDON</t>
  </si>
  <si>
    <t>4 PARK SQUARE, MILTON PARK, ABINGDON OX14 4RN, OXON, ENGLAND</t>
  </si>
  <si>
    <t>0311-5518</t>
  </si>
  <si>
    <t>Alcheringa</t>
  </si>
  <si>
    <t>10.1080/03115510802104368</t>
  </si>
  <si>
    <t>Paleontology</t>
  </si>
  <si>
    <t>336YX</t>
  </si>
  <si>
    <t>WOS:000258403800007</t>
  </si>
  <si>
    <t>Barsanti, L; Coltelli, P; Evangelista, V; Frassanito, AM; Passarelli, V; Vesentini, N; Gualtieri, P</t>
  </si>
  <si>
    <t>Evangelista, V; Barsanti, L; Frassanito, AM; Passarelli, V; Gualtieri, P</t>
  </si>
  <si>
    <t>Barsanti, Laura; Coltelli, Primo; Evangelista, Valtere; Frassanito, Anna Maria; Passarelli, Vincenzo; Vesentini, Nicoletta; Gualtieri, Paolo</t>
  </si>
  <si>
    <t>Oddities and curiosities in the algal world</t>
  </si>
  <si>
    <t>ALGAL TOXINS: NATURE, OCCURRENCE, EFFECT AND DETECTION</t>
  </si>
  <si>
    <t>NATO Science for Peace and Security Series A-Chemistry and Biology</t>
  </si>
  <si>
    <t>Conference on NATO-Advanced-Study-Institute on Sensor Systems for Biological Threats - Algal Toxins Case</t>
  </si>
  <si>
    <t>SEP 30-OCT 11, 2007</t>
  </si>
  <si>
    <t>Pisa, ITALY</t>
  </si>
  <si>
    <t>algae; extreme environments; mutualisms; blooms; bioluminescence; protothecosis</t>
  </si>
  <si>
    <t>ANTARCTIC SEA-ICE; KELP MACROCYSTIS-PYRIFERA; LUCIFERIN-BINDING-PROTEIN; BIOLOGICAL SOIL CRUSTS; FASTEST MOTOR PROTEIN; MCMURDO-SOUND; SNOW ALGAE; AMBYSTOMA-MACULATUM; GONYAULAX-POLYEDRA; HIGH-RESOLUTION</t>
  </si>
  <si>
    <t>The term algae refers to a polyphyletic, non-cohensive and artificial assemblage, of O-2-evolving, photosynthetic organisms. The profound diversity of size, shape, habitat, metabolic traits and growth strategies makes this heterogeneous assemblage of both prokaryotic and eukaryotic species all almost unlimited source of curious and unusual features. Algae display ail incredible adaptability to most environments, and provide ail excellent system for testing hypotheses concerning the evolution of ecological tolerance. In fact, they are not limited to temperate waters, but can survive at very low depth and very low irradiance, and thrive beneath polar ice sheets. Upon adaptation to life oil land, algae have colonized such surprising places, as catacombs, tree trunks, hot springs, and call also resist desiccation ill the desert regions of the world. Moreover, relations between them and other organisms, which include competition within and between species for space, light, nutrient or any limiting source, are based on a variety of associations, which includes epiphytism, parasitism, and symbiosis. Algae can share their life with animals, growing oil sloth hair, inside the jelly capsule of amphibian eggs, upon the carapaces Of turtles or shells of mollusks, camouflaging the dorsal scute of harvestmen. They call also light up the sea at night, and cause infections in annuals and humans.</t>
  </si>
  <si>
    <t>[Barsanti, Laura; Evangelista, Valtere; Frassanito, Anna Maria; Passarelli, Vincenzo; Gualtieri, Paolo] CNR, Ist Biofis, Area Ric Pisa, Via Moruzzi 1, I-56124 Pisa, Italy; [Coltelli, Primo] CNR, Ist Sci &amp; Tecnol Informaz, Area Ric Pisa, I-56124 Pisa, Italy; [Vesentini, Nicoletta] CNR, Ist Fisiol Clin, Area Ric Pisa, I-56124 Pisa, Italy</t>
  </si>
  <si>
    <t>Consiglio Nazionale delle Ricerche (CNR); Istituto di Biofisica (IBF-CNR); Consiglio Nazionale delle Ricerche (CNR); Istituto di Scienza e Tecnologie dell'Informazione Alessandro Faedo (ISTI-CNR); Consiglio Nazionale delle Ricerche (CNR)</t>
  </si>
  <si>
    <t>Gualtieri, P (corresponding author), CNR, Ist Biofis, Area Ric Pisa, Via Moruzzi 1, I-56124 Pisa, Italy.</t>
  </si>
  <si>
    <t>paolo.gualtieri@pi.ibf.cnr.it</t>
  </si>
  <si>
    <t>Barsanti, Laura/ABA-1431-2021</t>
  </si>
  <si>
    <t>1874-6489</t>
  </si>
  <si>
    <t>978-1-4020-8478-2</t>
  </si>
  <si>
    <t>NATO SCI PEACE SEC A</t>
  </si>
  <si>
    <t>NATO Sci. Peace Secur. Ser. A-Chem. Biol.</t>
  </si>
  <si>
    <t>10.1007/978-1-4020-8480-5_17</t>
  </si>
  <si>
    <t>Biophysics; Plant Sciences</t>
  </si>
  <si>
    <t>BIC22</t>
  </si>
  <si>
    <t>WOS:000258328700017</t>
  </si>
  <si>
    <t>Grotti, M; Soggia, F; Todolì, JL</t>
  </si>
  <si>
    <t>Grotti, Marco; Soggia, Francesco; Luis Todoli, Jose</t>
  </si>
  <si>
    <t>Ultratrace analysis of Antarctic snow samples by reaction cell inductively coupled plasma mass spectrometry using a total-consumption micro- sample-introduction system</t>
  </si>
  <si>
    <t>ANALYST</t>
  </si>
  <si>
    <t>DYNAMIC REACTION CELL; ICP-DRC-MS; HEAVY-METALS; GREENLAND SNOW; TRACE-ELEMENTS; ALPINE SNOW; LEVEL; PRECONCENTRATION; CADMIUM; WATER</t>
  </si>
  <si>
    <t>In this work, a new sensitive procedure for the determination of ultratrace elements in snow samples based on quadrupole ICP-MS has been developed. After filtration through a 0.5 mm PTFE membrane (for dissolved element determination) or acidification with 0.5% nitric acid (for acid dissolvable element determination), the analytes were preconcentrated by sample volume reduction and analysed by ICP-MS. Micro-samples were efficiently introduced into the plasma source at 20 ml min(-1) uptake rate by using a PFA micronebulizer coupled to an evaporation chamber of the torch integrated sample introduction system (TISIS). As a result, the amount of sample required was about one order of magnitude lower than that required with a conventional liquid sample introduction system. In order to improve the transport efficiency, the TISIS chamber was electrically-heated at 70 degrees C and a sheathing gas stream was used to protect the aerosol from the chamber walls. Under these conditions, negative solvent plasma effects were no more severe than for conventional systems, because the total solvent plasma load was 20 mg min(-1). The operating parameters were optimized to obtain maximum sensitivity, while limiting oxides and double charge ion formation. The polyatomic interferences were removed by applying the dynamic reaction cell (DRC) technique, using ammonia as the reaction gas. Under the optimized conditions, limits of detection ranged from 0.02 to 4.5 pg g(-1), allowing the determination of Cr, V, Fe, Mn, Pb, Zn, Cd, Co and Cu in Antarctic snow samples. Signal repeatability was lower than 10% which prevented the use of an internal standard. Precision of the procedure ranged from 2.0% to 5.6%. The accuracy of the method was verified by the analysis of both certified reference water and surface snow samples collected in coastal and inland areas of Antarctica. The DRC program used, the short wash out and signal stabilization times registered under these conditions led to a 10 h(-1) sample throughput.</t>
  </si>
  <si>
    <t>[Grotti, Marco; Soggia, Francesco] Univ Genoa, Dipartimento Chim &amp; Chim Ind, I-16146 Genoa, Italy; [Luis Todoli, Jose] Univ Alicante, Dept Quim Analit Nutr &amp; Bromatol, E-03080 Alicante, Spain</t>
  </si>
  <si>
    <t>University of Genoa; Universitat d'Alacant</t>
  </si>
  <si>
    <t>Grotti, M (corresponding author), Univ Genoa, Dipartimento Chim &amp; Chim Ind, Via Dodecaneso 31, I-16146 Genoa, Italy.</t>
  </si>
  <si>
    <t>grotti@chimica.unige.it</t>
  </si>
  <si>
    <t>Grotti, Marco/HGU-3949-2022</t>
  </si>
  <si>
    <t>Grotti, Marco/0000-0001-6956-5761</t>
  </si>
  <si>
    <t>ROYAL SOC CHEMISTRY</t>
  </si>
  <si>
    <t>CAMBRIDGE</t>
  </si>
  <si>
    <t>THOMAS GRAHAM HOUSE, SCIENCE PARK, MILTON RD, CAMBRIDGE CB4 0WF, CAMBS, ENGLAND</t>
  </si>
  <si>
    <t>0003-2654</t>
  </si>
  <si>
    <t>1364-5528</t>
  </si>
  <si>
    <t>Analyst</t>
  </si>
  <si>
    <t>10.1039/b804043e</t>
  </si>
  <si>
    <t>Chemistry, Analytical</t>
  </si>
  <si>
    <t>350ZO</t>
  </si>
  <si>
    <t>WOS:000259392900011</t>
  </si>
  <si>
    <t>Jimi, SI; Rosman, KJR; Hong, S; Candelone, JP; Burn, LJ; Boutron, CF</t>
  </si>
  <si>
    <t>Jimi, Salah I.; Rosman, Kevin J. R.; Hong, Sungmin; Candelone, Jean-Pierre; Burn, Laurie J.; Boutron, Claude F.</t>
  </si>
  <si>
    <t>Simultaneous determination of picogram per gram concentrations of Ba, Pb and Pb isotopes in Greenland ice by thermal ionisation mass spectrometry</t>
  </si>
  <si>
    <t>ANALYTICAL AND BIOANALYTICAL CHEMISTRY</t>
  </si>
  <si>
    <t>TIMS; barium; lead isotopes; ice cores; Laki; volcanoes</t>
  </si>
  <si>
    <t>NORTHERN-HEMISPHERE; STRONTIUM ISOTOPES; ANTHROPOGENIC LEAD; ANTARCTIC SNOW; HEAVY-METALS; LATE 1960S; POLAR ICE; ATMOSPHERE; SIGNATURES; ERUPTION</t>
  </si>
  <si>
    <t>A technique has been developed to simultaneously measure picogram per gram concentrations of Ba and Pb by isotope dilution mass spectrometry, as well as Pb isotopic ratios in polar ice by thermal ionisation mass spectrometry. BapO(2)(+) and Pb+ ions were employed for these determinations. A calibrated mixture of enriched Pb-205 and Ba-137 was added to the samples providing an accuracy of better than approximately 2% for Pb/Ba element ratio determinations. Interference by molecular ions in the Pb mass spectrum occurred only at Pb-204/Pb-205, but these contributions were negligible in terms of precisions expected on picogram-sized Pb samples. The technique is illustrated with measurements on Greenland firn, using a drill-core section that includes the Laki volcanic eruption of 1783-1784. The data show deviations from the element concentrations indicating volatile metal enrichments, but the Pb isotopic signature of the Laki lava could not be identified.</t>
  </si>
  <si>
    <t>[Jimi, Salah I.; Rosman, Kevin J. R.; Candelone, Jean-Pierre; Burn, Laurie J.] Curtin Univ Technol, Dept Imaging &amp; Appl Phys, Perth, WA 6845, Australia; [Hong, Sungmin] Korean Ocean Res &amp; Dev Inst, Polar Res Ctr, Seoul 425600, South Korea; [Boutron, Claude F.] Lab Glaciol &amp; Geophys Environm, F-38402 St Martin Dheres, France; [Boutron, Claude F.] Univ Grenoble 1, UFR Mecan, Inst Univ France, F-38041 Grenoble, France</t>
  </si>
  <si>
    <t>Curtin University; Korea Institute of Ocean Science &amp; Technology (KIOST); Communaute Universite Grenoble Alpes; Universite Grenoble Alpes (UGA); Institut Universitaire de France</t>
  </si>
  <si>
    <t>Rosman, KJR (corresponding author), Curtin Univ Technol, Dept Imaging &amp; Appl Phys, GPO Box U 1987, Perth, WA 6845, Australia.</t>
  </si>
  <si>
    <t>k.rosman@curtin.edu.au</t>
  </si>
  <si>
    <t>1618-2642</t>
  </si>
  <si>
    <t>ANAL BIOANAL CHEM</t>
  </si>
  <si>
    <t>Anal. Bioanal. Chem.</t>
  </si>
  <si>
    <t>JAN</t>
  </si>
  <si>
    <t>10.1007/s00216-007-1729-6</t>
  </si>
  <si>
    <t>Biochemical Research Methods; Chemistry, Analytical</t>
  </si>
  <si>
    <t>Biochemistry &amp; Molecular Biology; Chemistry</t>
  </si>
  <si>
    <t>248QW</t>
  </si>
  <si>
    <t>WOS:000252170400008</t>
  </si>
  <si>
    <t>Kotiaho, JS; Lebas, NR; Puurtinen, M; Tomkins, JL</t>
  </si>
  <si>
    <t>Kotiaho, Janne S.; Lebas, Natasha R.; Puurtinen, Mikael; Tomkins, Joseph L.</t>
  </si>
  <si>
    <t>On female choice, heterozygosity and the lek paradox</t>
  </si>
  <si>
    <t>ANIMAL BEHAVIOUR</t>
  </si>
  <si>
    <t>directional selection; female mate choice; genetic compatibility; indirect genetic benefits; male-male competition; paradox of the lek; sexual selection</t>
  </si>
  <si>
    <t>ANTARCTIC FUR SEALS; MATE CHOICE; SEXUAL SELECTION; GENETIC COMPATIBILITY; ARCTOCEPHALUS-GAZELLA; RESOLUTION; VARIANCE; CAPTURE; WILD</t>
  </si>
  <si>
    <t>[Kotiaho, Janne S.; Puurtinen, Mikael] Univ Jyvaskyla, Dept Biol &amp; Environm Sci, Jyvaskyla 40014, Finland; [Kotiaho, Janne S.] Univ Jyvaskyla, Nat Hist Museum, SF-40351 Jyvaskyla, Finland; [Lebas, Natasha R.; Tomkins, Joseph L.] Univ Western Australia, Dept Zool, Ctr Evolutionary Biol, Crawley, WA 6009, Australia</t>
  </si>
  <si>
    <t>University of Jyvaskyla; University of Jyvaskyla; University of Western Australia</t>
  </si>
  <si>
    <t>Kotiaho, JS (corresponding author), Univ Jyvaskyla, Dept Biol &amp; Environm Sci, POB 35, Jyvaskyla 40014, Finland.</t>
  </si>
  <si>
    <t>janne.kotiaho@bytl.jyu.fi</t>
  </si>
  <si>
    <t>LeBas, Natasha R/E-7339-2015; Tomkins, Joseph Leopold/A-8091-2011; Puurtinen, Mikael/I-5993-2012</t>
  </si>
  <si>
    <t>LeBas, Natasha R/0000-0003-4706-3909; Tomkins, Joseph Leopold/0000-0003-1259-7898; Puurtinen, Mikael/0000-0003-3340-2762; Kotiaho, Janne/0000-0002-4732-784X</t>
  </si>
  <si>
    <t>ACADEMIC PRESS LTD ELSEVIER SCIENCE LTD</t>
  </si>
  <si>
    <t>24-28 OVAL RD, LONDON NW1 7DX, ENGLAND</t>
  </si>
  <si>
    <t>0003-3472</t>
  </si>
  <si>
    <t>ANIM BEHAV</t>
  </si>
  <si>
    <t>Anim. Behav.</t>
  </si>
  <si>
    <t>E1</t>
  </si>
  <si>
    <t>E3</t>
  </si>
  <si>
    <t>10.1016/j.anbehav.2007.08.011</t>
  </si>
  <si>
    <t>Behavioral Sciences; Zoology</t>
  </si>
  <si>
    <t>256EH</t>
  </si>
  <si>
    <t>WOS:000252710000036</t>
  </si>
  <si>
    <t>Kiss, AJ</t>
  </si>
  <si>
    <t>Tsonis, PA</t>
  </si>
  <si>
    <t>Kiss, Andor J.</t>
  </si>
  <si>
    <t>The Antarctic Toothfish: A New Model System for Eye Lens Biology</t>
  </si>
  <si>
    <t>ANIMAL MODELS IN EYE RESEARCH</t>
  </si>
  <si>
    <t>Article; Book Chapter</t>
  </si>
  <si>
    <t>LIQUID PHASE-SEPARATION; COLD-ADAPTED ORGANISMS; ALPHA-CRYSTALLIN; DISSOSTICHUS-MAWSONI; NOTOTHENIOID FISH; MOLECULAR CHAPERONE; ANTIFREEZE PEPTIDES; ANABLEPS-ANABLEPS; PROTEIN SOLUTIONS; CITRATE SYNTHASE</t>
  </si>
  <si>
    <t>Miami Univ, Dept Zool, Lab Ecophysiol Cryobiol, Oxford, OH 45056 USA</t>
  </si>
  <si>
    <t>University System of Ohio; Miami University</t>
  </si>
  <si>
    <t>Kiss, AJ (corresponding author), Miami Univ, Dept Zool, Lab Ecophysiol Cryobiol, Oxford, OH 45056 USA.</t>
  </si>
  <si>
    <t>Kiss, Andor J/E-9863-2016</t>
  </si>
  <si>
    <t>Kiss, Andor J/0000-0002-7508-0485</t>
  </si>
  <si>
    <t>ELSEVIER ACADEMIC PRESS INC</t>
  </si>
  <si>
    <t>SAN DIEGO</t>
  </si>
  <si>
    <t>525 B STREET, SUITE 1900, SAN DIEGO, CA 92101-4495 USA</t>
  </si>
  <si>
    <t>978-0-08-092103-7</t>
  </si>
  <si>
    <t>10.1016/B978-0-12-374169-1.00005-9</t>
  </si>
  <si>
    <t>Ophthalmology</t>
  </si>
  <si>
    <t>Book Citation Index – Science (BKCI-S)</t>
  </si>
  <si>
    <t>BFZ94</t>
  </si>
  <si>
    <t>WOS:000322011700006</t>
  </si>
  <si>
    <t>Ford, EAK; Aruliah, AL; Griffin, EM; McWhirter, I</t>
  </si>
  <si>
    <t>Ford, E. A. K.; Aruliah, A. L.; Griffin, E. M.; McWhirter, I.</t>
  </si>
  <si>
    <t>Statistical analysis of thermospheric gravity waves from Fabry-Perot Interferometer measurements of atomic oxygen</t>
  </si>
  <si>
    <t>ANNALES GEOPHYSICAE</t>
  </si>
  <si>
    <t>atmospheric composition and structure; airglow and aurora; meteorology and atmospheric dynamics; thermospheric dynamics; waves and tides</t>
  </si>
  <si>
    <t>TRAVELING IONOSPHERIC DISTURBANCES; VERTICAL WIND ACTIVITY; SPECTRAL-ANALYSIS; SPACED DATA; POLAR-CAP; DYNAMICS; RADAR</t>
  </si>
  <si>
    <t>Data from the Fabry-Perot Interferometers at KEOPS (Sweden), Sodankyla (Finland), and Svalbard (Norway), have been analysed for gravity wave activity on all the clear nights from 2000 to 2006. A total of 249 nights were available from KEOPS, 133 from Sodankyla and 185 from the Svalbard FPI. A Lomb-Scargle analysis was performed on each of these nights to identify the periods of any wave activity during the night. Comparisons between many nights of data allow the general characteristics of the waves that are present in the high latitude upper thermosphere to be determined. Comparisons were made between the different parameters: the atomic oxygen intensities, the thermospheric winds and temperatures, and for each parameter the distribution of frequencies of the waves was determined. No dependence on the number of waves on geomagnetic activity levels, or position in the solar cycle, was found. All the FPIs have had different detectors at various times, producing different time resolutions of the data, so comparisons between the different years, and between data from different sites, showed how the time resolution determines which waves are observed. In addition to the cutoff due to the Nyquist frequency, poor resolution observations significantly reduce the number of short-period waves ( 1 h period) that may be detected with confidence. The length of the dataset, which is usually determined by the length of the night, was the main factor influencing the number of long period waves (&gt; 5 h) detected. Comparisons between the number of gravity waves detected at KEOPS and Sodankyla over all the seasons showed a similar proportion of waves to the number of nights used for both sites, as expected since the two sites are at similar latitudes and therefore locations with respect to the auroral oval, confirming this as a likely source region. Svalbard showed fewer waves with short periods than KEOPS data for a season when both had the same time resolution data. This gives a clear indication of the direction of flow of the gravity waves, and corroborates that the source is the auroral oval. This is because the energy is dissipated through heating in each cycle of a wave, therefore, over a given distance, short period waves lose more energy than long and dissipate before they reach their target.</t>
  </si>
  <si>
    <t>[Ford, E. A. K.; Aruliah, A. L.; Griffin, E. M.; McWhirter, I.] UCL, Dept Phys &amp; Astron, Atmospher Phys Lab, London WC1E 6BT, England; [Ford, E. A. K.] British Antarctic Survey, Cambridge CB3 0ET, England</t>
  </si>
  <si>
    <t>University of London; University College London; UK Research &amp; Innovation (UKRI); Natural Environment Research Council (NERC); NERC British Antarctic Survey</t>
  </si>
  <si>
    <t>Ford, EAK (corresponding author), UCL, Dept Phys &amp; Astron, Atmospher Phys Lab, Gower St, London WC1E 6BT, England.</t>
  </si>
  <si>
    <t>eakf@bas.ac.uk</t>
  </si>
  <si>
    <t>Ford, Elaina/0000-0002-2430-3327</t>
  </si>
  <si>
    <t>COPERNICUS GESELLSCHAFT MBH</t>
  </si>
  <si>
    <t>GOTTINGEN</t>
  </si>
  <si>
    <t>BAHNHOFSALLEE 1E, GOTTINGEN, 37081, GERMANY</t>
  </si>
  <si>
    <t>0992-7689</t>
  </si>
  <si>
    <t>1432-0576</t>
  </si>
  <si>
    <t>ANN GEOPHYS-GERMANY</t>
  </si>
  <si>
    <t>Ann. Geophys.</t>
  </si>
  <si>
    <t>10.5194/angeo-26-29-2008</t>
  </si>
  <si>
    <t>Astronomy &amp; Astrophysics; Geosciences, Multidisciplinary; Meteorology &amp; Atmospheric Sciences</t>
  </si>
  <si>
    <t>Astronomy &amp; Astrophysics; Geology; Meteorology &amp; Atmospheric Sciences</t>
  </si>
  <si>
    <t>269TE</t>
  </si>
  <si>
    <t>gold, Green Accepted</t>
  </si>
  <si>
    <t>WOS:000253672400004</t>
  </si>
  <si>
    <t>Chisham, G; Yeoman, TK; Sofko, GJ</t>
  </si>
  <si>
    <t>Chisham, G.; Yeoman, T. K.; Sofko, G. J.</t>
  </si>
  <si>
    <t>Mapping ionospheric backscatter measured by the SuperDARN HF radars - Part 1: A new empirical virtual height model</t>
  </si>
  <si>
    <t>ionosphere; active experiments; wave propagation; instruments and techniques</t>
  </si>
  <si>
    <t>FIELD-ALIGNED IRREGULARITIES; SMALL-SCALE IRREGULARITIES; F-REGION; GRAVITY-WAVES; ECHOES; LAYER; MULTIFREQUENCY; PERTURBATIONS; CONVECTION; SCATTERING</t>
  </si>
  <si>
    <t>Accurately mapping the location of ionospheric backscatter targets (density irregularities) identified by the Super Dual Auroral Radar Network (SuperDARN) HF radars can be a major problem, particularly at far ranges for which the radio propagation paths are longer and more uncertain. Assessing and increasing the accuracy of the mapping of scattering locations is crucial for the measurement of two-dimensional velocity structures on the small and meso-scale, for which overlapping velocity measurements from two radars need to be combined, and for studies in which SuperDARN data are used in conjunction with measurements from other instruments. The co-ordinates of scattering locations are presently estimated using a combination of the measured range and a model virtual height, assuming a straight line virtual propagation path. By studying elevation angle of arrival information of backscatterred signals from 5 years of data (1997-2001) from the Saskatoon SuperDARN radar we have determined the actual distribution of the backscatter target locations in range-virtual height space. This has allowed the derivation of a new empirical virtual height model that allows for a more accurate mapping of the locations of backscatter targets.</t>
  </si>
  <si>
    <t>[Chisham, G.] British Antarctic Survey, NERC, Cambridge CB3 0ET, England; [Yeoman, T. K.] Univ Leicester, Dept Phys &amp; Astron, Leicester LE1 7RH, Leics, England; [Sofko, G. J.] Univ Saskatchewan, Saskatoon, SK S7N 5E2, Canada</t>
  </si>
  <si>
    <t>UK Research &amp; Innovation (UKRI); Natural Environment Research Council (NERC); NERC British Antarctic Survey; University of Leicester; University of Saskatchewan</t>
  </si>
  <si>
    <t>Chisham, G (corresponding author), British Antarctic Survey, NERC, High Cross,Madingley Rd, Cambridge CB3 0ET, England.</t>
  </si>
  <si>
    <t>gchi@bas.ac.uk</t>
  </si>
  <si>
    <t>Yeoman, Timothy k/L-9105-2014</t>
  </si>
  <si>
    <t>Yeoman, Timothy k/0000-0002-8434-4825</t>
  </si>
  <si>
    <t>STFC [PP/E000983/1] Funding Source: UKRI; Science and Technology Facilities Council [PP/E000983/1] Funding Source: researchfish</t>
  </si>
  <si>
    <t>STFC(UK Research &amp; Innovation (UKRI)Science &amp; Technology Facilities Council (STFC)); Science and Technology Facilities Council(UK Research &amp; Innovation (UKRI)Science &amp; Technology Facilities Council (STFC))</t>
  </si>
  <si>
    <t>10.5194/angeo-26-823-2008</t>
  </si>
  <si>
    <t>315AH</t>
  </si>
  <si>
    <t>Green Submitted, gold</t>
  </si>
  <si>
    <t>WOS:000256849800008</t>
  </si>
  <si>
    <t>Yeoman, TK; Chisham, G; Baddeley, LJ; Dhillon, RS; Karhunen, TJT; Robinson, TR; Senior, A; Wright, DM</t>
  </si>
  <si>
    <t>Yeoman, T. K.; Chisham, G.; Baddeley, L. J.; Dhillon, R. S.; Karhunen, T. J. T.; Robinson, T. R.; Senior, A.; Wright, D. M.</t>
  </si>
  <si>
    <t>Mapping ionospheric backscatter measured by the SuperDARN HF radars - Part 2: Assessing SuperDARN virtual height models</t>
  </si>
  <si>
    <t>TEMPORAL RESOLUTION OBSERVATIONS; F-REGION; CUSP; CONVECTION; TROMSO; IRREGULARITIES; MULTIFREQUENCY; SIGNATURES; CUTLASS; CLEFT</t>
  </si>
  <si>
    <t>The Super Dual Auroral Radar Network (SuperDARN) network of HF coherent backscatter radars form a unique global diagnostic of large-scale ionospheric and magnetospheric dynamics in the Northern and Southern Hemispheres. Currently the ground projections of the HF radar returns are routinely determined by a simple rangefinding algorithm, which takes no account of the prevailing, or indeed the average, HF propagation conditions. This is in spite of the fact that both direct E- and F-region backscatter and 11/2-hop E- and F-region backscatter are commonly used in geophysical interpretation of the data. In a companion paper, Chisham et al. (2008) have suggested a new virtual height model for SuperDARN, based on average measured propagation paths. Over shorter propagation paths the existing rangefinding algorithm is adequate, but mapping errors become significant for longer paths where the roundness of the Earth becomes important, and a correct assumption of virtual height becomes more difficult. The SuperDARN radar at Hankasalmi has a propagation path to high power HF ionospheric modification facilities at both Tromso on a 1/2-hop path and SPEAR on a 11/2-hop path. The SuperDARN radar at Pykkvibaer has propagation paths to both facilities over 11/2-hop paths. These paths provide an opportunity to quantitatively test the available SuperDARN virtual height models. It is also possible to use HF radar backscatter which has been artificially induced by the ionospheric heaters as an accurate calibration point for the Hankasalmi elevation angle of arrival data, providing a range correction algorithm for the SuperDARN radars which directly uses elevation angle. These developments enable the accurate mappings of the SuperDARN electric field measurements which are required for the growing number of multi-instrument studies of the Earth's ionosphere and magnetosphere.</t>
  </si>
  <si>
    <t>[Yeoman, T. K.; Baddeley, L. J.; Dhillon, R. S.; Karhunen, T. J. T.; Robinson, T. R.; Wright, D. M.] Univ Leicester, Dept Phys &amp; Astron, Leicester LE1 7RH, Leics, England; [Chisham, G.] British Antarctic Survey, NERC, Cambridge CB3 0ET, England; [Senior, A.] Univ Lancaster, Dept Commun Syst, Lancaster LA1 4WA, England</t>
  </si>
  <si>
    <t>University of Leicester; UK Research &amp; Innovation (UKRI); Natural Environment Research Council (NERC); NERC British Antarctic Survey; Lancaster University</t>
  </si>
  <si>
    <t>Yeoman, TK (corresponding author), Univ Leicester, Dept Phys &amp; Astron, Univ Rd, Leicester LE1 7RH, Leics, England.</t>
  </si>
  <si>
    <t>tim.yeoman@ion.le.ac.uk</t>
  </si>
  <si>
    <t>Yeoman, Timothy k/L-9105-2014; Baddeley, Lisa/ABD-4414-2020</t>
  </si>
  <si>
    <t>Yeoman, Timothy k/0000-0002-8434-4825; Baddeley, Lisa/0000-0003-1246-0488; Karhunen, Tommi/0000-0003-4083-9831</t>
  </si>
  <si>
    <t>Natural Environment Research Council [bas010021] Funding Source: researchfish; Science and Technology Facilities Council [PP/E000983/1, PP/E007929/1] Funding Source: researchfish; NERC [bas010021] Funding Source: UKRI; STFC [PP/E000983/1, PP/E007929/1]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</si>
  <si>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</si>
  <si>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10.5194/angeo-26-843-2008</t>
  </si>
  <si>
    <t>gold, Green Accepted, Green Submitted</t>
  </si>
  <si>
    <t>WOS:000256849800009</t>
  </si>
  <si>
    <t>Grytsai, AV; Evtushevsky, OM; Milinevsky, GP</t>
  </si>
  <si>
    <t>Grytsai, A. V.; Evtushevsky, O. M.; Milinevsky, G. P.</t>
  </si>
  <si>
    <t>Anomalous quasi-stationary planetary waves over the Antarctic region in 1988 and 2002</t>
  </si>
  <si>
    <t>Article; Proceedings Paper</t>
  </si>
  <si>
    <t>32nd Annual European Meeting on Atmospheric Studies by Optical Methods</t>
  </si>
  <si>
    <t>AUG 28-SEP 01, 2006</t>
  </si>
  <si>
    <t>Kiruna, SWEDEN</t>
  </si>
  <si>
    <t>atmospheric composition and structure; pressure; density; and temperature; meteorology and atmospheric dynamics; middle atmosphere dynamics; waves and tides</t>
  </si>
  <si>
    <t>SOUTHERN-HEMISPHERE STRATOSPHERE; OZONE HOLE; WINTER; SIMULATIONS; TRANSPORT; SPLIT</t>
  </si>
  <si>
    <t>Anomalies in the Antarctic total ozone and amplitudes of the quasi-stationary planetary waves in the lower stratosphere temperature during the winter and spring of 1988 and 2002 have been compared. Westward displacement of the quasi-stationary wave (QSW) extremes by 50 degrees-70 degrees relative to the preceding years of the strong stratospheric polar vortex in 1987 and 2001, respectively, was observed. A dependence of the quasi-stationary wave ridge and trough positions on the strength of the westerly zonal wind in the lower stratosphere is shown. Comparison of the QSW amplitude in the lower stratosphere temperature in July and August shows that the amplitude distribution with latitude in August could be considered as a possible indication of the future anomalous warming in Antarctic spring. In August 2002, the QSW amplitude of 10 K at the edge region of the polar vortex (60 degrees S-65 degrees S) preceded the major warming in September, whereas in August 1988, the highest 7 K amplitude at 55 degrees S preceded the large warming in the next months. These results suggest that the peak value of the lower stratosphere temperature QSW amplitude and the peak latitudinal position in late winter can influence the southern polar vortex strength in spring.</t>
  </si>
  <si>
    <t>[Grytsai, A. V.; Evtushevsky, O. M.; Milinevsky, G. P.] Natl Taras Shevchenko Univ Kyiv, Kiev, Ukraine</t>
  </si>
  <si>
    <t>Ministry of Education &amp; Science of Ukraine; Taras Shevchenko National University of Kyiv</t>
  </si>
  <si>
    <t>Milinevsky, GP (corresponding author), Natl Taras Shevchenko Univ Kyiv, Kiev, Ukraine.</t>
  </si>
  <si>
    <t>gennadim@gmail.com</t>
  </si>
  <si>
    <t>Evtushevsky, Oleksandr O.M./F-2065-2017; Milinevsky, Gennadi/AAD-8801-2019; Grytsai, Asen/AAS-7114-2020</t>
  </si>
  <si>
    <t>Evtushevsky, Oleksandr O.M./0000-0003-0582-559X; Milinevsky, Gennadi/0000-0002-2342-2615; Grytsai, Asen/0000-0002-2545-9833</t>
  </si>
  <si>
    <t>10.5194/angeo-26-1101-2008</t>
  </si>
  <si>
    <t>Science Citation Index Expanded (SCI-EXPANDED); Conference Proceedings Citation Index - Science (CPCI-S)</t>
  </si>
  <si>
    <t>306CC</t>
  </si>
  <si>
    <t>gold, Green Submitted</t>
  </si>
  <si>
    <t>WOS:000256224500008</t>
  </si>
  <si>
    <t>Lastovicka, J; Akmaev, RA; Beig, G; Bremer, J; Emmert, JT; Jacobi, C; Jarvis, MJ; Nedoluha, G; Portnyagin, YI; Ulich, T</t>
  </si>
  <si>
    <t>Lastovicka, J.; Akmaev, R. A.; Beig, G.; Bremer, J.; Emmert, J. T.; Jacobi, C.; Jarvis, M. J.; Nedoluha, G.; Portnyagin, Yu. I.; Ulich, T.</t>
  </si>
  <si>
    <t>Emerging pattern of global change in the upper atmosphere and ionosphere</t>
  </si>
  <si>
    <t>4th International Workshop on Long Term Changes and Trends in the Atmosphere</t>
  </si>
  <si>
    <t>SEP 04-07, 2006</t>
  </si>
  <si>
    <t>Sodankyla Geophys Observ, Sodankyla, FINLAND</t>
  </si>
  <si>
    <t>Sodankyla Geophys Observ</t>
  </si>
  <si>
    <t>atmospheric composition and structure; thermosphere; composition and chemistry; evolution of the atmosphere; ionosphere; ionosphere-atmosphere interactions</t>
  </si>
  <si>
    <t>LONG-TERM TRENDS; MESOSPHERIC TEMPERATURE TRENDS; STRATOSPHERIC WATER-VAPOR; LOWER THERMOSPHERE; SOLAR-CYCLE; MIDDLE ATMOSPHERE; GEOMAGNETIC-ACTIVITY; MESOPAUSE REGION; WAVE ACTIVITY; PEAK HEIGHT</t>
  </si>
  <si>
    <t>In the upper atmosphere, greenhouse gases produce a cooling effect, instead of a warming effect. Increases in greenhouse gas concentrations are expected to induce substantial changes in the mesosphere, thermosphere, and ionosphere, including a thermal contraction of these layers. In this article we construct for the first time a pattern of the observed long-term global change in the upper atmosphere, based on trend studies of various parameters. The picture we obtain is qualitative, and contains several gaps and a few discrepancies, but the overall pattern of observed long-term changes throughout the upper atmosphere is consistent with model predictions of the effect of greenhouse gas increases. Together with the large body of lower atmospheric trend research, our synthesis indicates that anthropogenic emissions of greenhouse gases are affecting the atmosphere at nearly all altitudes between ground and space.</t>
  </si>
  <si>
    <t>[Lastovicka, J.] Inst Atmospher Phys, Prague 14131, Czech Republic; [Akmaev, R. A.] Univ Colorado, Cooperat Inst Res Environm Sci, Boulder, CO 80309 USA; [Beig, G.] Indian Inst Trop Meteorol, Pune 411008, Maharashtra, India; [Bremer, J.] Leibnitz Inst Atmospher Phys, D-18225 Kuhlungsborn, Germany; [Emmert, J. T.; Nedoluha, G.] USN, Res Lab, Washington, DC 20375 USA; [Jacobi, C.] Univ Leipzig, Inst Meteorol, D-04103 Leipzig, Germany; [Jarvis, M. J.] British Antarctic Survey, Cambridge CB3 0ET, England; [Portnyagin, Yu. I.] Inst Expt Meteorol, Obninsk 249038, Russia; [Ulich, T.] Sodankyla Geophys Observ, Sodankyla 99600, Finland</t>
  </si>
  <si>
    <t>Czech Academy of Sciences; Institute of Atmospheric Physics of the Czech Academy of Sciences; University of Colorado System; University of Colorado Boulder; Ministry of Earth Sciences (MoES) - India; Indian Institute of Tropical Meteorology (IITM); Leibniz Institut fur Atmospharenphysik e.V. an der Universitat Rostock (IAP); United States Department of Defense; United States Navy; Naval Research Laboratory; Leipzig University; UK Research &amp; Innovation (UKRI); Natural Environment Research Council (NERC); NERC British Antarctic Survey</t>
  </si>
  <si>
    <t>Lastovicka, J (corresponding author), Inst Atmospher Phys, Bocni 2, Prague 14131, Czech Republic.</t>
  </si>
  <si>
    <t>jla@ufa.cas.cz</t>
  </si>
  <si>
    <t>Ulich, Thomas/G-3727-2018; Lastovicka, Jan/H-6804-2014; Fadnavis, Suvarna S/AAA-7485-2020</t>
  </si>
  <si>
    <t>Ulich, Thomas/0000-0001-8217-022X; Fadnavis, Suvarna S/0000-0003-4442-0755; Beig, Gufran/0000-0002-5564-7210</t>
  </si>
  <si>
    <t>NERC [bas010022] Funding Source: UKRI; Natural Environment Research Council [bas010022] Funding Source: researchfish</t>
  </si>
  <si>
    <t>10.5194/angeo-26-1255-2008</t>
  </si>
  <si>
    <t>WOS:000256224500024</t>
  </si>
  <si>
    <t>Jourdain, L; Bekki, S; Lott, F; Lefevre, F</t>
  </si>
  <si>
    <t>Jourdain, L.; Bekki, S.; Lott, F.; Lefevre, F.</t>
  </si>
  <si>
    <t>The coupled chemistry-climate model LMDz-REPROBUS: description and evaluation of a transient simulation of the period 1980-1999</t>
  </si>
  <si>
    <t>atmospheric composition and structure; middle atmosphere; composition and chemistry; meteorology and atmospheric dynamics; middle atmosphere dynamics</t>
  </si>
  <si>
    <t>DOPPLER-SPREAD PARAMETERIZATION; MIDDLE-ATMOSPHERE; OZONE DEPLETION; WATER-VAPOR; IMPACT; VARIABILITY; SCHEME; STRATOSPHERE; TREND; CYCLE</t>
  </si>
  <si>
    <t>We present a description and evaluation of the Chemistry-Climate Model (CCM) LMDz-REPROBUS, which couples interactively the extended version of the Laboratoire de Meteorologie Dynamique General Circulation Model (LMDz GCM) and the stratospheric chemistry module of the REactive Processes Ruling the Ozone BUdget in the Stratosphere (REPROBUS) model. The transient simulation evaluated here covers the period 1980-1999. The introduction of an interactive stratospheric chemistry module improves the model dynamical climatology, with a substantial reduction of the temperature biases in the lower tropical stratosphere. However, at high latitudes in the Southern Hemisphere, a negative temperature bias, that is already present in the GCM version, albeit with a smaller magnitude, leads to an overestimation of the ozone depletion and its vertical extent in the CCM. This in turn contributes to maintain low polar temperatures in the vortex, delay the break-up of the vortex and the recovery of polar ozone. The latitudinal and vertical variation of the mean age of air compares favourable with estimates derived from long-lived species measurements, though the model mean age of air is 1-3 years too young in the middle stratosphere. The model also reproduces the observed 'tape recorder' in tropical total hydrogen (=H2O+2 x CH4), but its propagation is about 30% too fast and its signal fades away slightly too quickly. The analysis of the global distributions of CH4 and N2O suggests that the subtropical transport barriers are correctly represented in the simulation. LMDz-REPROBUS also reproduces fairly well most of the spatial and seasonal variations of the stratospheric chemical species, in particular ozone. However, because of the Antarctic cold bias, large discrepancies are found for most species at high latitudes in the Southern Hemisphere during the spring and early summer. In the Northern Hemisphere, polar ozone depletion and its variability are underestimated in the simulation.</t>
  </si>
  <si>
    <t>[Jourdain, L.; Bekki, S.; Lefevre, F.] Univ Paris 06, CNRS, Serv Aeron, F-75005 Paris, France; [Lott, F.] Univ Paris 06, CNRS, Meteorol Dynam Lab, F-75005 Paris, France</t>
  </si>
  <si>
    <t>Centre National de la Recherche Scientifique (CNRS); Sorbonne Universite; Sorbonne Universite; Centre National de la Recherche Scientifique (CNRS)</t>
  </si>
  <si>
    <t>Jourdain, L (corresponding author), CALTECH, Jet Prop Lab, 4800 Oak Grove Dr, Pasadena, CA 91109 USA.</t>
  </si>
  <si>
    <t>ljourd@gmail.com</t>
  </si>
  <si>
    <t>bekki, slimane/J-7221-2015</t>
  </si>
  <si>
    <t>bekki, slimane/0000-0002-5538-0800</t>
  </si>
  <si>
    <t>10.5194/angeo-26-1391-2008</t>
  </si>
  <si>
    <t>311IN</t>
  </si>
  <si>
    <t>WOS:000256594000009</t>
  </si>
  <si>
    <t>Blagoveshchensky, DV; Kalishin, AS; Sergeyeva, MA</t>
  </si>
  <si>
    <t>Blagoveshchensky, D. V.; Kalishin, A. S.; Sergeyeva, M. A.</t>
  </si>
  <si>
    <t>Space weather effects on radio propagation: study of the CEDAR, GEM and ISTP storm events</t>
  </si>
  <si>
    <t>ionosphere; polar ionosphere; magnetospheric physics; storms and substorms; radio science; ionospheric propagation</t>
  </si>
  <si>
    <t>IONOSPHERE</t>
  </si>
  <si>
    <t>The impact of 14 geomagnetic storms from a list of CEDAR, GEM and ISTP storms, that occurred during 1997-1999, on radio propagation conditions has been investigated. The propagation conditions were estimated through variations of the MOF and LOF (the maximum and lowest operation frequencies) on three high-latitude HF radio paths in north-west Russia. Geophysical data of D-st, B-z, AE as well as some riometer data from Sodankyla observatory, Finland, were used for the analysis. It was shown that the storm impact on the ionosphere and radio propagation for each storm has an individual character. Nevertheless, there are common patterns in variation of the propagation parameters for all storms. Thus, the frequency range Delta=MOF-LOF increases several hours before a storm, then it narrows sharply during the storm, and expands again several hours after the end of the storm. This regular behaviour should be useful for the HF radio propagation predictions and frequency management at high latitudes. On the trans-auroral radio path, the time interval when the signal is lost through a storm (t(des)) depends on the local time. For the day-time storms an average value t(des) is 6 h, but for night storms t(des) is only 2 h. The ionization increase in the F2 layer before storm onset is 3.5 h during the day-time and 2.4 h at night. Mechanisms to explain the observed variations are discussed including some novel possibilities involving energy input through the cusp.</t>
  </si>
  <si>
    <t>[Blagoveshchensky, D. V.; Sergeyeva, M. A.] Univ Aerosp Instrumentat, St Petersburg 190000, Russia; [Kalishin, A. S.] Arctic &amp; Antarctic Res Inst, St Petersburg 199397, Russia</t>
  </si>
  <si>
    <t>Saint Petersburg State University of Aerospace Instrumentation; Arctic &amp; Antarctic Research Institute</t>
  </si>
  <si>
    <t>Blagoveshchensky, DV (corresponding author), Univ Aerosp Instrumentat, 67 Bolshaya Morskaya, St Petersburg 190000, Russia.</t>
  </si>
  <si>
    <t>dvb@ppp.delfa.net</t>
  </si>
  <si>
    <t>Kalishin, Alexey/0000-0001-7299-6546</t>
  </si>
  <si>
    <t>10.5194/angeo-26-1479-2008</t>
  </si>
  <si>
    <t>WOS:000256594000015</t>
  </si>
  <si>
    <t>Menietti, JD; Horne, RB; Gurnett, DA; Hospodarsky, GB; Piker, CW; Groene, JB</t>
  </si>
  <si>
    <t>Menietti, J. D.; Horne, R. B.; Gurnett, D. A.; Hospodarsky, G. B.; Piker, C. W.; Groene, J. B.</t>
  </si>
  <si>
    <t>A survey of Galileo plasma wave instrument observations of Jovian whistler-mode chorus</t>
  </si>
  <si>
    <t>magnetospheric physics; energetic particles, trapped; planetary magnetospheres; space plasma physics; wave-particle interactions</t>
  </si>
  <si>
    <t>DRIVEN ELECTRON ACCELERATION; RELATIVISTIC ENERGIES; RESONANT DIFFUSION; RADIATION BELTS; VLF CHORUS; IO TORUS; EMISSIONS; MAGNETOSPHERE; TRANSPORT; POLAR</t>
  </si>
  <si>
    <t>A survey of plasma wave observations at Jupiter obtained by the plasma wave instrument on board the Galileo spacecraft is presented. The observations indicate that chorus emissions are observed commonly in the Jovian magnetosphere near the magnetic equator in the approximate radial range 6 &lt; r &lt; 10 R-J. The survey includes almost all local times but not equally sampled in radial distance due to the spacecraft trajectory. The data suggest that chorus emissions are somewhat more intense on the dayside, but this may be a result of insufficient nightside observations. The orbit of Galileo is also restricted to +/-3 degrees of the Jovigraphic equator, but the tilt of the magnetic field permits coverage of a range of magnetic latitudes of -13 degrees &lt; lambda(mag) &lt; +13 degrees. The similarities of chorus emissions to terrestrial observations are a good reason to speculate that Jovian chorus emission may play a significant role in the stochastic acceleration of electrons in the radial range 6-10 R-J as recent studies indicate. These electrons may then be transported inward by radial diffusion where they are additionally accelerated to form the synchrotron radiation belt source.</t>
  </si>
  <si>
    <t>[Menietti, J. D.; Gurnett, D. A.; Hospodarsky, G. B.; Piker, C. W.; Groene, J. B.] Univ Iowa, Dept Phys &amp; Astron, Iowa City, IA 52242 USA; [Horne, R. B.] British Antarctic Survey, Cambridge CB3 0ET, England</t>
  </si>
  <si>
    <t>University of Iowa; UK Research &amp; Innovation (UKRI); Natural Environment Research Council (NERC); NERC British Antarctic Survey</t>
  </si>
  <si>
    <t>Menietti, JD (corresponding author), Univ Iowa, Dept Phys &amp; Astron, Iowa City, IA 52242 USA.</t>
  </si>
  <si>
    <t>john-menietti@uiowa.edu</t>
  </si>
  <si>
    <t>Horne, Richard B/U-3764-2019; Hospodarsky, George/A-7996-2015</t>
  </si>
  <si>
    <t>Horne, Richard B/0000-0002-0412-6407; Hospodarsky, George/0000-0001-9200-9878</t>
  </si>
  <si>
    <t>10.5194/angeo-26-1819-2008</t>
  </si>
  <si>
    <t>332HO</t>
  </si>
  <si>
    <t>gold</t>
  </si>
  <si>
    <t>WOS:000258074300014</t>
  </si>
  <si>
    <t>Pietrolungo, M; Lepidi, S; Cafarella, L; Santarelli, L; Di Mauro, D</t>
  </si>
  <si>
    <t>Pietrolungo, M.; Lepidi, S.; Cafarella, L.; Santarelli, L.; Di Mauro, D.</t>
  </si>
  <si>
    <t>Daily variation at three Antarctic geomagnetic observatories within the polar cap</t>
  </si>
  <si>
    <t>geomagnetism and paleomagnetism; time variations, diurnal to secular; magnetospheric physics; polar cap phenomena; solar wind-magnetosphere interactions</t>
  </si>
  <si>
    <t>INTERPLANETARY MAGNETIC-FIELD; STATION ANTARCTICA; ALIGNED CURRENTS; DEPENDENCE; CUSP; ALTITUDE</t>
  </si>
  <si>
    <t>In this work we present a statistical analysis of the diurnal variation as observed at three Antarctic observatories located at different positions within the polar cap during the year 2006. Data used for the analysis are from the Italian geomagnetic observatory at Mario Zucchelli Station (formerly Terra Nova Bay, geographic latitude 74.7 degrees S, corrected geomagnetic latitude 80.0 degrees S), from the French-Italian observatory at Concordia Station (75.1 degrees S, 88.9 degrees S) and from the French observatory at Dumont D'Urville (66.7 degrees S, 80.4 degrees S), which are located in pairs at the same geographic and corrected geomagnetic latitude; such a position allows to distinguish whether the geographic or the geomagnetic reference system is better suitable to describe the observed phenomena at so high latitudes. The peculiarities of the daily variation as observed during this year and its relation with the observatory location and magnetospheric and interplanetary conditions were analysed. Data were also studied taking into account different Lloyd seasons. The results indicate that the 24-h variation is quite persistent, but its amplitude strongly depends on season and global geomagnetic activity: indeed, it almost vanishes during local winter for quiet geomagnetic conditions; this reduction is more evident at the stations closer to the geographic pole, where the solar radiation reduction during winter is more dramatic. The Interplanetary Magnetic Field orientation has been found to be important in that the north-south and the east-west components control the amplitude and the diurnal pattern of the variation, respectively.</t>
  </si>
  <si>
    <t>[Pietrolungo, M.; Lepidi, S.; Cafarella, L.; Santarelli, L.; Di Mauro, D.] Ist Nazl Geofis &amp; Vulcanol, Rome, Italy</t>
  </si>
  <si>
    <t>Istituto Nazionale Geofisica e Vulcanologia (INGV)</t>
  </si>
  <si>
    <t>Pietrolungo, M (corresponding author), Ist Nazl Geofis &amp; Vulcanol, Rome, Italy.</t>
  </si>
  <si>
    <t>pietrolungo@ingv.it</t>
  </si>
  <si>
    <t>Cafarella, Lili/HTO-5890-2023; Di Mauro, Domenico/ABD-6663-2021; cafarella, lili/G-4160-2011</t>
  </si>
  <si>
    <t>Di Mauro, Domenico/0000-0003-1757-9816; cafarella, lili/0000-0003-2005-8923</t>
  </si>
  <si>
    <t>French IPEV; PNRA</t>
  </si>
  <si>
    <t>The research activity at TNB is supported by Italian PNRA (Programma Nazionale di Ricerche in Antartide). The research activity at DMC is supported by Italian PNRA and French IPEV (Institut Polaire Franc, ais Paul Emile Victor). The research activity at DRV is supported by French IPEV (Institut Polaire Franc, ais Paul Emile Victor). The work of M. Pietrolungo and L. Santarelli was supported by a PNRA fellowship.; The authors thank J. J. Schott (Ecole et Observatoire des Sciences de la Terre, France) that operates the INTERMAGNET observatory DRV. ACE data were provided by CDAWeb, run by NASA GSFC; thanks also to the ACE team and the ACE Science Center.; Topical Editor I. A. Daglis thanks P. Ritter and another anonymous referee for their help in evaluating this paper.</t>
  </si>
  <si>
    <t>10.5194/angeo-26-2179-2008</t>
  </si>
  <si>
    <t>341AS</t>
  </si>
  <si>
    <t>WOS:000258687200008</t>
  </si>
  <si>
    <t>Parkinson, ML</t>
  </si>
  <si>
    <t>Parkinson, M. L.</t>
  </si>
  <si>
    <t>Complexity in the scaling of velocity fluctuations in the high-latitude F-region ionosphere</t>
  </si>
  <si>
    <t>magnetospheric physics; solar wind-magnetosphere interactions; space plasma physics; nonlinear phenomena; turbulence</t>
  </si>
  <si>
    <t>SOLAR-WIND EPSILON; SPECTRAL WIDTH; SUPERDARN; CUSP; BOUNDARY; SIGNATURES; IRREGULARITIES; CONVECTION; TURBULENCE; INDEXES</t>
  </si>
  <si>
    <t>The temporal scaling properties of F-region velocity fluctuations, delta v(los), were characterised over 17 octaves of temporal scale from tau= 1 s to &lt; 1 day using a new data base of 1-s time resolution SuperDARN radar measurements. After quality control, 2.9 ( 1.9) million fluctuations were recorded during 31.5 ( 40.4) days of discretionary mode soundings using the Tasmanian ( New Zealand) radars. If the fluctuations were statistically self-similar, the probability density functions ( PDFs) of delta v(los) would collapse onto the same PDF using the scaling P-s (delta v(s), tau)=tau alpha P (delta v(los), tau) and delta v(s)= delta v(los) tau(-alpha) where alpha is the scaling exponent. The variations in scaling exponents alpha and multi-fractal behaviour were estimated using peak scaling and generalised structure function ( GSF) analyses, and a new method based upon minimising the differences between re-scaled probability density functions ( PDFs). The efficiency of this method enabled calculation of alpha spectra, the temporal spectra of scaling exponents from tau= 1 s to similar to 2048 s. The large number of samples enabled calculation of alpha spectra for data separated into 2-h bins of MLT as well as two main physical regimes: Population A echoes with Doppler spectral width &lt; 75ms(-1) concentrated on closed field lines, and Population B echoes with spectral width &gt; 150ms(-1) concentrated on open field lines. For all data there was a scaling break at tau similar to 10 s and the similarity of the fluctuations beneath this scale may be related to the large spatial averaging (similar to 100 km x 45 km) employed by SuperDARN radars. For Tasmania Population B, the velocity fluctuations exhibited approximately mono fractal power law scaling between tau similar to 8 s and 2048 s ( 34 min), and probably up to several hours. The scaling exponents were generally less than that expected for basic MHD turbulence ( alpha=0.25), except close to magnetic dusk where they peaked towards the basic MHD value. For Population A, the scaling exponents were larger than for Population B, having values generally in the range expected for basic MHD and Kolmogorov turbulence ( alpha= 0.25-0.33). The ff spectra exhibited complicated variations with MLT and tau which must be related to different physical processes exerting more or less influence.</t>
  </si>
  <si>
    <t>La Trobe Univ, Dept Phys, Bundoora, Vic 3086, Australia</t>
  </si>
  <si>
    <t>La Trobe University</t>
  </si>
  <si>
    <t>Parkinson, ML (corresponding author), La Trobe Univ, Dept Phys, Bundoora, Vic 3086, Australia.</t>
  </si>
  <si>
    <t>m.parkinson@latrobe.edu.au</t>
  </si>
  <si>
    <t>Australian Research Council; Australian Antarctic Science Advisory Council; Australian Academy of Sciences; TIGER Consortium Partners</t>
  </si>
  <si>
    <t>Australian Research Council(Australian Research Council); Australian Antarctic Science Advisory Council; Australian Academy of Sciences; TIGER Consortium Partners</t>
  </si>
  <si>
    <t>This work was supported by the Australian Research Council, the Australian Antarctic Science Advisory Council, the Australian Academy of Sciences, and the TIGER Consortium Partners ( La Trobe University, Australian Antarctic Division, DSTO Intelligence Surveillance and Reconnaissance Division, IPS Radio and Space Services, Monash University, University of New-castle). The team of engineers and scientists who contributed to the construction, maintenance, and operation of the TIGER radars are thanked.</t>
  </si>
  <si>
    <t>10.5194/angeo-26-2657-2008</t>
  </si>
  <si>
    <t>355IO</t>
  </si>
  <si>
    <t>WOS:000259702800012</t>
  </si>
  <si>
    <t>Boakes, PD; Milan, SE; Abel, GA; Freeman, MP; Chisham, G; Hubert, B; Sotirelis, T</t>
  </si>
  <si>
    <t>Boakes, P. D.; Milan, S. E.; Abel, G. A.; Freeman, M. P.; Chisham, G.; Hubert, B.; Sotirelis, T.</t>
  </si>
  <si>
    <t>On the use of IMAGE FUV for estimating the latitude of the open/closed magnetic field line boundary in the ionosphere</t>
  </si>
  <si>
    <t>ionosphere; active experiments; magnetospheric physics; auroral phenomena; instruments and techniques</t>
  </si>
  <si>
    <t>ANGSTROM AURORAL EMISSION; POLAR-CAP BOUNDARY; HF RADAR; PRECIPITATION BOUNDARIES; ALIGNED CURRENTS; CUSP; RECONNECTION; SUPERDARN; SUBSTORMS; SECTOR</t>
  </si>
  <si>
    <t>A statistical comparison of the latitude of the open/closed magnetic field line boundary (OCB) as estimated from the three far ultraviolet (FUV) detectors onboard the IMAGE spacecraft (the Wideband Imaging camera, WIC, and the Spectrographic Imagers, SI-12 and SI-13) has been carried out over all magnetic local times. A total of over 400 000 OCB estimations were compared from December 2000 and January and December of 2001-2002. The modal latitude difference between the FUV OCB proxies from the three detectors is small, &lt;1 degrees, except in the predawn and evening sectors, where the SI-12 OCB proxy is found to be displaced from both the SI-13 and WIC OCB proxies by up to 2 degrees poleward in the predawn sector and by up to 2 degrees equatorward in the evening sector. Comparing the IMAGE FUV OCB proxies with that determined from particle precipitation measurements by the Defense Meteorological Satellites Program (DMSP) also shows systematic differences. The SI-12 OCB proxy is found to be at higher latitude in the predawn sector, in better agreement with the DMSP OCB proxy. The WIC and SI-13 OCB proxies are found to be in better agreement with the DMSP OCB proxy at most other magnetic local times. These systematic offsets may be used to correct FUV OCB proxies to give a more accurate estimate of the OCB latitude.</t>
  </si>
  <si>
    <t>[Boakes, P. D.; Milan, S. E.] Univ Leicester, Dept Phys &amp; Astron, Leicester LE1 7RH, Leics, England; [Boakes, P. D.; Abel, G. A.; Freeman, M. P.; Chisham, G.] British Antarctic Survey, Nat Environm Council, Cambridge CB3 0ET, England; [Hubert, B.] Univ Liege, Lab Planetary &amp; Atmospher Phys, B-4000 Liege, Belgium; [Sotirelis, T.] Johns Hopkins Univ, Appl Phys Lab, Laurel, MD USA</t>
  </si>
  <si>
    <t>University of Leicester; UK Research &amp; Innovation (UKRI); Natural Environment Research Council (NERC); NERC British Antarctic Survey; University of Liege; Johns Hopkins University; Johns Hopkins University Applied Physics Laboratory</t>
  </si>
  <si>
    <t>Boakes, PD (corresponding author), Univ Leicester, Dept Phys &amp; Astron, Leicester LE1 7RH, Leics, England.</t>
  </si>
  <si>
    <t>p.boakes@ion.le.ac.uk</t>
  </si>
  <si>
    <t>Abel, Gary/ABE-1765-2021; Sotirelis, Thomas S/C-2523-2016; Freeman, Mervyn/E-5687-2019</t>
  </si>
  <si>
    <t>Abel, Gary/0000-0003-2231-5161; Milan, Steve/0000-0001-5050-9604; Freeman, Mervyn/0000-0002-8653-8279</t>
  </si>
  <si>
    <t>PPARC/STFC CASE [PPA/S/C/2006/04488]; Belgian National Fund for Scientific Research (FNRS); NERC [bas010021] Funding Source: UKRI; Natural Environment Research Council [bas010021] Funding Source: researchfish; Science and Technology Facilities Council [PP/E000983/1] Funding Source: researchfish</t>
  </si>
  <si>
    <t>PPARC/STFC CASE(UK Research &amp; Innovation (UKRI)Science &amp; Technology Facilities Council (STFC)); Belgian National Fund for Scientific Research (FNRS)(Fonds de la Recherche Scientifique - FNRS);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t>
  </si>
  <si>
    <t>PDB was supported by a PPARC/STFC CASE award, grant no. PPA/S/C/2006/04488. The authors would like to thank the many dedicated scientists who have made the IMAGE mission a success. B. Hubert is supported by the Belgian National Fund for Scientific Research (FNRS).</t>
  </si>
  <si>
    <t>10.5194/angeo-26-2759-2008</t>
  </si>
  <si>
    <t>WOS:000259702800020</t>
  </si>
  <si>
    <t>Latteck, R; Singer, W; Morris, RJ; Hocking, WK; Murphy, DJ; Holdsworth, DA; Swarnalingam, N</t>
  </si>
  <si>
    <t>Latteck, R.; Singer, W.; Morris, R. J.; Hocking, W. K.; Murphy, D. J.; Holdsworth, D. A.; Swarnalingam, N.</t>
  </si>
  <si>
    <t>Similarities and differences in polar mesosphere summer echoes observed in the Arctic and Antarctica</t>
  </si>
  <si>
    <t>meteorology and atmospheric dynamics; middle atmosphere dynamics; instruments and techniques; radio science; radio wave propagation</t>
  </si>
  <si>
    <t>RADAR OBSERVATIONS; PMSE; TEMPERATURE; MIDDLE; WINDS; LATITUDES; MESOPAUSE; NORTHERN; CLOUDS; LAYERS</t>
  </si>
  <si>
    <t>Polar Mesosphere Summer Echoes (PMSE) have been observed in the high latitudes of the Northern and Southern Hemisphere for several years using VHF radars located at Andenes/Norway (69 degrees N, 16 degrees E), Resolute Bay/Canada (75 degrees N, 95 degrees W), and Davis/Antarctica (69 degrees S, 78 degrees E). The VHF radars at the three sites were calibrated using the same methods (noise source and delayed transmitting signal) and identical equipment. Volume reflectivity was derived from the calibrated echo power and the characteristics of the seasonal variation of PMSE were estimated at the sites for the years 2004 to 2007. The largest peak volume reflectivity of about 2x10(-9) m(-1) was observed at Andenes compared with their counterparts at Davis (similar to 4x10(-11) m(-1)) and Resolute Bay (similar to 6x10(-12) m(-1)). The peak of the PMSE height distribution is 85.6 km at Davis which is about 1 km higher than at Andenes. At Resolute Bay the height distribution peaks at about 85 km but only a few layers were found below 84 km. The mean PMSE occurrence rate is 83% at Andenes, 38% at Davis with larger variability and only 18% at Resolute Bay (in late summer). The duration of the PMSE season varies at Andenes from 104 to 113 days and at Davis from 88 to 93 days. In general the PMSE seasons starts about 5 days later at Davis and ends about 10 days earlier compared to Andenes. In all three seasons the PMSE occurrence suddenly drops to a much lower level at Davis about 32 days after solstice whereas the PMSE season decays smoothly at Andenes. The duration of the PMSE season at Andenes and Davis is highly correlated with the presence of equatorward directed winds, the observed differences in PMSE occurrence are related to the mesospheric temperatures at both sites.</t>
  </si>
  <si>
    <t>[Latteck, R.; Singer, W.] Leibniz Inst Atmospharenphys, Kuhlungsborn, Germany; [Morris, R. J.; Murphy, D. J.; Holdsworth, D. A.] Australian Antarctic Div, Kingston, Tas, Australia; [Hocking, W. K.; Swarnalingam, N.] Univ Western Ontario, London, ON, Canada; [Holdsworth, D. A.] Atmospher Radar Syst, Thebarton, SA, Australia</t>
  </si>
  <si>
    <t>Leibniz Institut fur Atmospharenphysik e.V. an der Universitat Rostock (IAP); Australian Antarctic Division; Western University (University of Western Ontario)</t>
  </si>
  <si>
    <t>Latteck, R (corresponding author), Leibniz Inst Atmospharenphys, Kuhlungsborn, Germany.</t>
  </si>
  <si>
    <t>latteck@iap-kborn.de</t>
  </si>
  <si>
    <t>Latteck, Ralph/0000-0002-0001-7473</t>
  </si>
  <si>
    <t>Australian Antarctic Division; Australian Antarctic Science Advisory Committee [2325, 674]</t>
  </si>
  <si>
    <t>Australian Antarctic Division; Australian Antarctic Science Advisory Committee</t>
  </si>
  <si>
    <t>The authors would like to acknowledge the support with the operation and data management, of the ALWIN VHF radar by Kolbjorn Dahle from the Andoya Rocket Range, and the Davis MST radar by L. Symons, D. Ward, P. Nink, R. Urmonas, and D. Correll from the Australian Antarctic Division. Support under project number 2325 ( Davis MST radar) and 674 ( Davis MF radar) is provided by the Australian Antarctic Science Advisory Committee.</t>
  </si>
  <si>
    <t>10.5194/angeo-26-2795-2008</t>
  </si>
  <si>
    <t>WOS:000259702800023</t>
  </si>
  <si>
    <t>Coco, I; Amata, E; Marcucci, MF; Ambrosino, D; Villain, JP; Hanuise, C</t>
  </si>
  <si>
    <t>Coco, I.; Amata, E.; Marcucci, M. F.; Ambrosino, D.; Villain, J. -P.; Hanuise, C.</t>
  </si>
  <si>
    <t>The effects of an interplanetary shock on the high-latitude ionospheric convection during an IMF By-dominated period</t>
  </si>
  <si>
    <t>interplanetary physics; interplanetary shocks; magnetospheric physics; magnetosphere-ionosphere interactions; plasma convection</t>
  </si>
  <si>
    <t>SOLAR-WIND PRESSURE; HF RADAR OBSERVATIONS; MAGNETIC-FIELD; DYNAMIC PRESSURE; POLAR-CAP; DAYSIDE MAGNETOPAUSE; SUDDEN COMMENCEMENT; PLASMA-FLOW; NORTHWARD; MAGNETOSPHERE</t>
  </si>
  <si>
    <t>On 6 January 1998 an interplanetary shock hit the magnetosphere around 14:15 UT and caused a reconfiguration of the northern high-latitude ionospheric convection. We use SuperDARN, spacecraft and ground magnetometer data to study such reconfiguration. We find that the shock front was tilted towards the morning flank of the magnetosphere, while the Interplanetary Magnetic Field (IMF) was B-y-dominated, with B-y 0, IMF B-z 0 and vertical bar B-y vertical bar &gt;&gt; B-z. As expected, the magnetospheric compression started at the first impact point of the shock on the magnetopause causing an increase of the Chapman-Ferraro current from dawn to dusk and yielding an increase of the geomagnetic field at the geostationary orbit and on the ground. Moreover, the high-latitude magnetometer data show vortical structures clearly related to the interaction of the shock with the magnetosphere-ionosphere system. In this context, the SuperDARN convection maps show that at very high latitudes above the northern Cusp and in the morning sector, intense sunward convection fluxes appear, well correlated in time with the SI arrival, having a signature typical for B-z &gt; 0 dominated lobe reconnection. We suggest that in this case the dynamic pressure increase associated to the shock plays a role in favouring the setting up of a new lobe merging line albeit vertical bar B-y vertical bar &gt;&gt; B-z &gt;= 0.</t>
  </si>
  <si>
    <t>[Coco, I.; Amata, E.; Marcucci, M. F.; Ambrosino, D.] INAF, Ist Fis Spazio Interplanetario, Rome, Italy; [Villain, J. -P.; Hanuise, C.] Univ Orleans, CNRS, LPCE, Orleans, France</t>
  </si>
  <si>
    <t>Istituto Nazionale Astrofisica (INAF); Centre National de la Recherche Scientifique (CNRS); Universite de Orleans</t>
  </si>
  <si>
    <t>Coco, I (corresponding author), INAF, Ist Fis Spazio Interplanetario, Rome, Italy.</t>
  </si>
  <si>
    <t>igino.coco@ifsi-roma.inaf.it</t>
  </si>
  <si>
    <t>Marcucci, Maria federica/HNJ-5276-2023; Coco, Igino/X-7419-2018</t>
  </si>
  <si>
    <t>Coco, Igino/0000-0003-4070-6828; Marcucci, Maria Federica/0000-0002-5002-6060</t>
  </si>
  <si>
    <t>Italian National Program for Antarctic Research (PNRA) [2004/7.1, 2004/7.2]; Science and Technology Facilities Council [PP/E007929/1] Funding Source: researchfish</t>
  </si>
  <si>
    <t>Italian National Program for Antarctic Research (PNRA); Science and Technology Facilities Council(UK Research &amp; Innovation (UKRI)Science &amp; Technology Facilities Council (STFC))</t>
  </si>
  <si>
    <t>The authors would like to thank: R. Lepping and K. Ogilvie for the use of WIND magnetic field and solar wind experiments data, respectively; N. Ness for the use of ACE Magnetic Field Instrument data; A. Szabo and R. Lepping for the use of IMP-8 Magnetic Field Instrument data; S. Kokubun for the use of GEOTAIL Magnetic Field Instrument data; the CDAWeb team; the World Data Center for Geomagnetism, Kyoto, Japan, for providing low-latitude magnetograms; M. Engebretson and W. J. Hughes for the use of MACCS magnetometers data; J. Watermann for the use of DMI Greenland magnetometers data; R. Clauer for the use of MAGIC magnetometers data. We would also like to thank all of the Principal Investigators of the SuperDARN radars.; Special thanks go to Jean-Claude Cerisier at CETP, France, and to Jean-Pierre St. Maurice, at the University of Saskatchewan, Canada, for the useful and stimulating discussions at the early stages of that work. This work is supported by the Italian National Program for Antarctic Research (PNRA), under projects 2004/7.1 and 2004/7.2.; Topical Editor I. A. Daglis thanks two anonymous referees for their help in evaluating this paper.</t>
  </si>
  <si>
    <t>10.5194/angeo-26-2937-2008</t>
  </si>
  <si>
    <t>WOS:000259702800035</t>
  </si>
  <si>
    <t>Pokhotelov, D; Lefeuvre, F; Horne, RB; Cornilleau-Wehrlin, N</t>
  </si>
  <si>
    <t>Pokhotelov, D.; Lefeuvre, F.; Horne, R. B.; Cornilleau-Wehrlin, N.</t>
  </si>
  <si>
    <t>Survey of ELF-VLF plasma waves in outer radiation belt observed by Cluster STAFF-SA experiment</t>
  </si>
  <si>
    <t>Magnetospheric physics; Energetic particles, precipitating; Plasma waves and instabilities</t>
  </si>
  <si>
    <t>PROPAGATION CHARACTERISTICS; ELECTRON-SCATTERING; PLASMASPHERIC HISS; CHORUS EMISSIONS; EQUATORIAL NOISE; MAGNETOSPHERE; ACCELERATION; FREQUENCY; FLUCTUATIONS; SATELLITE</t>
  </si>
  <si>
    <t>Various types of plasma waves have profound effects on acceleration and scattering of radiation belt particles. For the purposes of radiation belt modeling it is necessary to know statistical distributions of plasma wave parameters. This paper analyzes four years of plasma wave observations in the Earth's outer radiation belt obtained by the STAFF-SA experiment on board Cluster spacecraft. Statistical distributions of spectral density of different plasma waves observed in ELF-VLF range (chorus, plasmaspheric hiss, magnetosonic waves) are presented as a function of magnetospheric coordinates and geomagnetic activity indices. Comparison with other spacecraft studies supports some earlier conclusions about the distribution of chorus and hiss waves and helps to remove the long-term controversy regarding the distribution of equatorial magnetosonic waves. This study represents a step towards the development of multi-spacecraft database of plasma wave activity in radiation belts.</t>
  </si>
  <si>
    <t>[Pokhotelov, D.] Univ Bath, Dept Elect &amp; Elect Engn, Bath BA2 7AY, Avon, England; [Lefeuvre, F.] LPCE, F-45071 Orleans, France; [Horne, R. B.] British Antarctic Survey, NERC, Cambridge CB3 0ET, England; [Cornilleau-Wehrlin, N.] IPSL, CETP, F-78140 Velizy Villacoublay, France; [Cornilleau-Wehrlin, N.] Observ Paris, CNRS, Stn Radioastron Nancay, F-18330 Nancay, France</t>
  </si>
  <si>
    <t>University of Bath; UK Research &amp; Innovation (UKRI); Natural Environment Research Council (NERC); NERC British Antarctic Survey; Universite Paris Cite; Universite PSL; Observatoire de Paris; Centre National de la Recherche Scientifique (CNRS)</t>
  </si>
  <si>
    <t>Pokhotelov, D (corresponding author), Univ Bath, Dept Elect &amp; Elect Engn, Bath BA2 7AY, Avon, England.</t>
  </si>
  <si>
    <t>d.pokhotelov@bath.ac.uk</t>
  </si>
  <si>
    <t>Pokhotelov, Dimitry/H-6969-2014; Horne, Richard B/U-3764-2019; Pokhotelov, Dimitry/AAG-5627-2020</t>
  </si>
  <si>
    <t>Pokhotelov, Dimitry/0000-0002-3712-0597; Horne, Richard B/0000-0002-0412-6407; Pokhotelov, Dimitry/0000-0002-3712-0597</t>
  </si>
  <si>
    <t>UK STFC; International Space Science Institute in Bern, Switzerland; NERC [bas010022] Funding Source: UKRI; Natural Environment Research Council [bas010022] Funding Source: researchfish</t>
  </si>
  <si>
    <t>UK STFC(UK Research &amp; Innovation (UKRI)Science &amp; Technology Facilities Council (STFC)); International Space Science Institute in Bern, Switzerland; NERC(UK Research &amp; Innovation (UKRI)Natural Environment Research Council (NERC)); Natural Environment Research Council(UK Research &amp; Innovation (UKRI)Natural Environment Research Council (NERC))</t>
  </si>
  <si>
    <t>We are grateful to D. Boscher and S. Bourdarie of ONERA/DESP and to N. P. Meredith of British Antarctic Survey for valuable discussions of various aspects of wave-particle interactions and radiation belt modeling. We are also grateful to the ESA Cluster Active Archive team for making available the dataset of Cluster STAFF-SA experiment. We would like to acknowledge financial support from the UK STFC and from the International Space Science Institute in Bern, Switzerland within the framework of the ISSI Team 89: On the use of wave field measurements to trace WPI in the plasmasphere and at medium and low latitude ionosphere.</t>
  </si>
  <si>
    <t>10.5194/angeo-26-3269-2008</t>
  </si>
  <si>
    <t>393XI</t>
  </si>
  <si>
    <t>WOS:000262409400007</t>
  </si>
  <si>
    <t>Nilsson, H; Kirkwood, S; Morris, RJ; Latteck, R; Klekociuk, AR; Murphy, DJ; Zecha, M; Belova, E</t>
  </si>
  <si>
    <t>Nilsson, H.; Kirkwood, S.; Morris, R. J.; Latteck, R.; Klekociuk, A. R.; Murphy, D. J.; Zecha, M.; Belova, E.</t>
  </si>
  <si>
    <t>Simultaneous observations of Polar Mesosphere Summer Echoes at two different latitudes in Antarctica</t>
  </si>
  <si>
    <t>Atmospheric composition and structure; Aerosols and particles; Middle atmosphere; composition and chemistry; Meteorology and atmospheric dynamics; Middle atmosphere dynamics</t>
  </si>
  <si>
    <t>PLANETARY-WAVES; LOWER THERMOSPHERE; PMSE; TEMPERATURE; CLOUDS; DAVIS</t>
  </si>
  <si>
    <t>Simultaneous observations of Polar Mesosphere Summer Echoes (PMSE) at Wasa and Davis in Antarctica have been compared. Data with simultaneous observations were obtained for 16 days between 18 January and 5 February 2007. Wasa is at a higher geographic latitude than Davis, but at lower geomagnetic latitude. PMSE strength and occurrence frequency were significantly higher at Wasa. The variation of daily PMSE occurrence over the measurement period was in agreement with temperature and frost-point estimates from the Microwave Limb Sounder on the Aura spacecraft for both Wasa and Davis. The diurnal variation of PMSE strength and occurrence frequency as well as the shape of the altitude profiles of average PMSE strength and occurrence frequency were similar for the two sites. The deepest part of the evening minimum in PMSE occurrence frequency occurred for the same magnetic local time at the two sites rather than for the same local solar time. The study indicates that PMSE strength and occurrence increase between 68.6 degrees and 73 degrees geographic latitude, consistent with observed differences in mesospheric temperatures and water vapor content. The average altitude distribution of PMSE varies relatively little with latitude in the same hemisphere.</t>
  </si>
  <si>
    <t>[Nilsson, H.; Kirkwood, S.; Belova, E.] Swedish Inst Space Phys, S-98128 Kiruna, Sweden; [Morris, R. J.; Klekociuk, A. R.; Murphy, D. J.] Australian Antarctic Div, Kingston, Tas, Australia; [Latteck, R.; Zecha, M.] Leibniz Inst Atmospher Phys, Kuhlungsborn, Germany</t>
  </si>
  <si>
    <t>Australian Antarctic Division; Leibniz Institut fur Atmospharenphysik e.V. an der Universitat Rostock (IAP)</t>
  </si>
  <si>
    <t>Nilsson, H (corresponding author), Swedish Inst Space Phys, S-98128 Kiruna, Sweden.</t>
  </si>
  <si>
    <t>hans.nilsson@irf.se</t>
  </si>
  <si>
    <t>Nilsson, Hans/JXL-5656-2024; Klekociuk, Andrew/A-4498-2015</t>
  </si>
  <si>
    <t>Nilsson, Hans/0000-0002-7787-2160; Klekociuk, Andrew/0000-0003-3335-0034; Latteck, Ralph/0000-0002-0001-7473</t>
  </si>
  <si>
    <t>MARA, Swedish Polar Research Secretariat; Davis MST</t>
  </si>
  <si>
    <t>We thank Knut and Alice Wallenberg's foundation for funding MARA, Swedish Polar Research Secretariat and the Davis MST radar technical support crew for technical assistance. Aura MLS data used in this study was distributed by Goddard Earth Sciences Data and Information Services Center Distributed Active Archive Center.</t>
  </si>
  <si>
    <t>10.5194/angeo-26-3783-2008</t>
  </si>
  <si>
    <t>393YN</t>
  </si>
  <si>
    <t>WOS:000262412500012</t>
  </si>
  <si>
    <t>Thomas, ER; Mulvaney, R; Wolff, EW</t>
  </si>
  <si>
    <t>Jacka, J</t>
  </si>
  <si>
    <t>Thomas, Elizabeth R.; Mulvaney, Robert; Wolff, Eric W.</t>
  </si>
  <si>
    <t>A change in seasonality in Greenland during a Dansgaard-Oeschger warming</t>
  </si>
  <si>
    <t>ANNALS OF GLACIOLOGY, VOL 48</t>
  </si>
  <si>
    <t>Annals of Glaciology-Series</t>
  </si>
  <si>
    <t>General Assembly of the International-Association-of-Geodesy/24th General Assembly of the International-Union-of-Geodesy-and-Geophysics</t>
  </si>
  <si>
    <t>JUL 02-13, 2007</t>
  </si>
  <si>
    <t>Perugia, ITALY</t>
  </si>
  <si>
    <t>ICE-CORE; MINERAL DUST; CLIMATE; VARIABILITY; NORTHGRIP; RECORDS; ORIGIN; SUMMIT; OCEAN; GISP2</t>
  </si>
  <si>
    <t>A new sub-seasonal chemical record is presented from the North Greenland Icecore Project (NorthGRIP) ice core during the onset of one of the longest and strongest interstadials of the last glacial period, Dansgaard-Oeschger event 8 (approximately 38 000 years ago). This is the first time that a record of such resolution has been achieved over several metres of deep glacial ice and provides a unique opportunity for using additional parameters to carry out accurate dating using annual-layer counting. The very high-resolution chemical data were used to assess the phasing of various ions and determine changes in the seasonal strength of chemical deposition and the shape of the seasonal cycle. The study shows that a change in seasonality accompanied the dramatic warming transition from stadial to interstadial conditions in Greenland.</t>
  </si>
  <si>
    <t>[Thomas, Elizabeth R.; Mulvaney, Robert; Wolff, Eric W.] British Antarctic Survey, NERC, Cambridge CB3 0ET, England</t>
  </si>
  <si>
    <t>Thomas, ER (corresponding author), British Antarctic Survey, NERC, Madingley Rd, Cambridge CB3 0ET, England.</t>
  </si>
  <si>
    <t>Wolff, Eric W/D-7925-2014; Thomas, Elizabeth Ruth/ADF-3660-2022; Mulvaney, Robert/K-3929-2012</t>
  </si>
  <si>
    <t>Wolff, Eric W/0000-0002-5914-8531; Thomas, Elizabeth Ruth/0000-0002-3010-6493; Mulvaney, Robert/0000-0002-5372-8148</t>
  </si>
  <si>
    <t>NERC [bas010016] Funding Source: UKRI</t>
  </si>
  <si>
    <t>NERC(UK Research &amp; Innovation (UKRI)Natural Environment Research Council (NERC))</t>
  </si>
  <si>
    <t>INT GLACIOLOGICAL SOC</t>
  </si>
  <si>
    <t>LENSFIELD RD, CAMBRIDGE CB2 1ER, ENGLAND</t>
  </si>
  <si>
    <t>0260-3055</t>
  </si>
  <si>
    <t>978-0-946417-43-8</t>
  </si>
  <si>
    <t>ANN GLACIOL-SER</t>
  </si>
  <si>
    <t>10.3189/172756408784700590</t>
  </si>
  <si>
    <t>Geology; Geosciences, Multidisciplinary</t>
  </si>
  <si>
    <t>BHW58</t>
  </si>
  <si>
    <t>WOS:000257063000004</t>
  </si>
  <si>
    <t>Porter, PR; Evans, AJ; Hodson, AJ; Lowe, AT; Crabtree, MD</t>
  </si>
  <si>
    <t>Porter, P. R.; Evans, A. J.; Hodson, A. J.; Lowe, A. T.; Crabtree, M. D.</t>
  </si>
  <si>
    <t>Sediment-moss interactions on a temperate glacier: Falljokull, Iceland</t>
  </si>
  <si>
    <t>ANTARCTIC HEARD ISLAND; CRYOCONITE HOLES; MICROBIAL LIFE; ARCTIC GLACIER; SVALBARD; COMMUNITIES; BENEATH; ICE</t>
  </si>
  <si>
    <t>We present the results of preliminary investigations of globular moss growth on the surface of Falljokull, a temperate outlet glacier of the Vatnajokull ice cap, southern Iceland. Supraglacial debris has provided a basis for moss colonization, and several large (&gt;500 m(2)) patches of moss growth (Racomitrium spp.) are observed on the surface of the glacier. Each area of moss-colonized supraglacial debris shows a downslope increase in sphericity and moss cushion size and a decrease in percentage surface coverage of moss-colonized and bare clasts. It is suggested that moss growth on supraglacial debris allows preferential downslope movement of clasts through an associated increase in both overall mass and sphericity. Thermal insulation by moss cushions protects the underlying ice surface from melt, and the resulting ice pedestals assist in downslope sliding and toppling of moss cushions. The morphology and life cycle of supraglacial globular mosses is therefore not only closely linked to the presence and distribution of supraglacial debris, but also appears to assist in limited down-glacier transport of this debris. This research highlights both the dynamic nature of the interaction of mosses with supraglacial sedimentary systems and the need for a detailed consideration of their role within the wider glacial ecosystem.</t>
  </si>
  <si>
    <t>[Porter, P. R.] Univ Hertfordshire, Div Geog &amp; Environm Sci, Coll Lane, Hatfield AL10 9AB, Herts, England; [Evans, A. J.; Crabtree, M. D.] Univ Leeds, Sch Geog, Leeds LS2 9JT, W Yorkshire, England; [Hodson, A. J.] Univ Sheffield, Dept Geog, Sheffield S10 2TN, S Yorkshire, England; [Lowe, A. T.] HaIcrow Grp Ltd, Deanway Technol Ctr, Handforth SK9 3AB, Cheshire, England</t>
  </si>
  <si>
    <t>University of Hertfordshire; University of Leeds; University of Sheffield</t>
  </si>
  <si>
    <t>Porter, PR (corresponding author), Univ Hertfordshire, Div Geog &amp; Environm Sci, Coll Lane, Hatfield AL10 9AB, Herts, England.</t>
  </si>
  <si>
    <t>p.r.porter@herts.ac.uk</t>
  </si>
  <si>
    <t>Hodson, Andrew/0000-0002-1255-7987</t>
  </si>
  <si>
    <t>10.3189/172756408784700734</t>
  </si>
  <si>
    <t>Bronze, Green Submitted</t>
  </si>
  <si>
    <t>WOS:000257063000005</t>
  </si>
  <si>
    <t>Xiao, CD; Li, YS; Allison, I; Hou, SG; Dreyfus, G; Barnola, JM; Ren, JW; Bian, LG; Zhang, SK; Kameda, T</t>
  </si>
  <si>
    <t>Xiao Cunde; Li Yuansheng; Allison, Ian; Hou Shugui; Dreyfus, Gabrielle; Barnola, Jean-Marc; Ren Jiawen; Bian Lingen; Zhang Shenkai; Kameda, Takao</t>
  </si>
  <si>
    <t>Surface characteristics at Dome A, Antarctica: first measurements and a guide to future ice-coring sites</t>
  </si>
  <si>
    <t>SUBGLACIAL LAKES; SHEET; CORE; HEAT</t>
  </si>
  <si>
    <t>An assessment of the glaciological and meteorological characteristics of Dome A, the summit of the East Antarctic ice sheet, is made based on field investigations during the austral summer of 2004/05. Knowledge of these characteristics is critical for future international studies such as deep ice-core drilling. The assessment shows that: (1) Dome A is characterized by a very low 10 m depth firn temperature, -58.3 degrees C (nearly 3 degrees C lower than at EPICA Dome C and 1 degrees C lower than at Vostok). (2) Automatic weather station (AWS) measurements of snow surface height and reference layers in a snow pit indicate the present-day snow accumulation rate at Dome A is within the range 1-3 cm w.e. a(-1). Densification models suggest a range of 1-2 cm w.e. a(-1). This is lower than at other sites along the ice divide of East Antarctica (IDEA). Annual layers at Dome A are thus potentially thinner than at other sites, so that a longer record is preserved in a given ice thickness. (3) The average wind speed observed at Dome A (&lt;4 m s(-1)) is lower than at other sites along IDEA. Together, these parameters, combined with radio-echo sounding data and information on the subglacial drainage distribution beneath Dome A, suggest Dome A as a candidate site for obtaining the oldest ice core.</t>
  </si>
  <si>
    <t>[Xiao Cunde; Hou Shugui; Ren Jiawen] Chinese Acad Sci, Cold &amp; Arid Reg Environm &amp; Engn Res Inst, State Key Lab Cryospher Sci, Lanzhou 730000, Peoples R China; [Xiao Cunde; Bian Lingen] Chinese Acad Meteorol Sci, Beijing 100081, Peoples R China; [Li Yuansheng] PoIar Res Inst China, Shanghai 200129, Peoples R China; [Allison, Ian] AustraIian Antarct Div, Hobart, Tas, Australia; [Allison, Ian] Antarctic Climate &amp; Ecosyst CRC, Hobart, Tas, Australia; [Dreyfus, Gabrielle] Univ Versailles St Quentin, CNRS, CEA, Lab Sci Climat &amp; Environm,Inst Pierre Simon Lapla, Gif Sur Yvette 91191, France; [Barnola, Jean-Marc] Univ Joseph Fourier Grenoble 1, Lab Glaciol &amp; Geophys Environm, CNRS, F-38402 St Martin Dheres, France; [Zhang Shenkai] Wuhan Univ, Sch Geodesy &amp; Geomat, Chinese Antarctic Ctr Surveying &amp; Mapping, Wuhan 430079, Hubei, Peoples R China; [Kameda, Takao] Kitami Inst Technol, Kitami, Hokkaido 0908507, Japan</t>
  </si>
  <si>
    <t>Chinese Academy of Sciences; Cold &amp; Arid Regions Environmental &amp; Engineering Research Institute, CAS; China Meteorological Administration; Chinese Academy of Meteorological Sciences (CAMS); Australian Antarctic Division; University of Tasmania; CEA; Centre National de la Recherche Scientifique (CNRS); Universite Paris Saclay; Universite Paris Cite; Centre National de la Recherche Scientifique (CNRS); Communaute Universite Grenoble Alpes; Universite Grenoble Alpes (UGA); Wuhan University; Kitami Institute of Technology</t>
  </si>
  <si>
    <t>Xiao, CD (corresponding author), Chinese Acad Sci, Cold &amp; Arid Reg Environm &amp; Engn Res Inst, State Key Lab Cryospher Sci, Lanzhou 730000, Peoples R China.</t>
  </si>
  <si>
    <t>cdxiao@cams.cma.gov.cn</t>
  </si>
  <si>
    <t>Jiawen, Ren/K-7734-2012; Allison, Ian F/I-4477-2015</t>
  </si>
  <si>
    <t>Allison, Ian F/0000-0001-9599-0251; Hou, Shugui/0000-0002-0905-3542; Kameda, Takao/0000-0001-6317-4399</t>
  </si>
  <si>
    <t>National Natural Science Foundation of China (NSFC) [40620120112]; Chinese Academy of Sciences (CAS) [KZCX3-SW-354]; Hundred Talent Projects of CAS; Australian Government's Cooperative Research Centres (CRC) Program through the Antarctic Climate and Ecosystems CRC</t>
  </si>
  <si>
    <t>National Natural Science Foundation of China (NSFC)(National Natural Science Foundation of China (NSFC)); Chinese Academy of Sciences (CAS)(Chinese Academy of Sciences); Hundred Talent Projects of CAS; Australian Government's Cooperative Research Centres (CRC) Program through the Antarctic Climate and Ecosystems CRC(Australian GovernmentDepartment of Industry, Innovation and ScienceCooperative Research Centres (CRC) Programme)</t>
  </si>
  <si>
    <t>All members of inland traverses during CHINARE-21 are thanked for the coordinated fieldwork. This study is supported by the National Natural Science Foundation of China (NSFC: 40620120112), Chinese Academy of Sciences (CAS: KZCX3-SW-354) and the Hundred Talent Projects of CAS. This work was also supported by the Australian Government's Cooperative Research Centres (CRC) Program through the Antarctic Climate and Ecosystems CRC.</t>
  </si>
  <si>
    <t>10.3189/172756408784700653</t>
  </si>
  <si>
    <t>WOS:000257063000012</t>
  </si>
  <si>
    <t>Zhang, SK; Dongchen, E; Wang, ZM; Li, YS; Jin, B; Zhou, CX</t>
  </si>
  <si>
    <t>Zhang Shengkai; Dongchen, E.; Wang Zemin; Li Yuansheng; Jin Bo; Zhou Chunxia</t>
  </si>
  <si>
    <t>Ice velocity from static GPS observations along the transect from Zhongshan station to Dome A, East Antarctica</t>
  </si>
  <si>
    <t>PRINCESS-ELIZABETH-LAND; LAMBERT GLACIER BASIN; SURFACE-TOPOGRAPHY; SHEET; TRAVERSE; ACCUMULATION; CORE</t>
  </si>
  <si>
    <t>Dome A, the highest point on the Antarctic ice sheet at just over 4000 m a.s.l., is located near the centre of East Antarctica. Chinese National Antarctic Research Expeditions have studied ice-sheet dynamics and mass balance along a traverse route from Zhongshan station to Dome A during the austral summers from 1996/97 to 2004/05. Nineteen GPS sites were occupied on at least two occasions at approximately 50 km intervals. The purpose of the surveys was to provide accurate ice-dynamics data. A dual-frequency GPS receiver was used and each site was occupied for 1-12 hours. GPS data were processed using GAMIT/GLOBK software, and horizontal accuracies were within 0.1 m. Repeat GPS measurements provided ice velocities. The horizontal surface ice velocities increase from the summit of the ice sheet to the coast. In the Dome A area, the velocities are &lt;10m a(-1); in the plateau area, velocities range from 8 to 24 m a(-1) and reach about 98.2 m a(-1) at a site (LT980) near the coast. The flow directions are roughly perpendicular to the ice-sheet surface elevation contours, primarily toward the Lambert Glacier basin.</t>
  </si>
  <si>
    <t>[Zhang Shengkai; Dongchen, E.; Wang Zemin; Zhou Chunxia] Wuhan Univ, Sch Geodesy &amp; Geomat, Chinese Antarctic Ctr Surveying &amp; Mapping, 129 Luoyu Rd, Wuhan 430079, Peoples R China; [Li Yuansheng] Polar Res Inst China, Shanghai 200136, Peoples R China; [Jin Bo] Chinese Arctic &amp; Antarctic Adm, Beijing 100860, Peoples R China</t>
  </si>
  <si>
    <t>Wuhan University; Polar Research Institute of China</t>
  </si>
  <si>
    <t>Zhang, SK (corresponding author), Wuhan Univ, Sch Geodesy &amp; Geomat, Chinese Antarctic Ctr Surveying &amp; Mapping, 129 Luoyu Rd, Wuhan 430079, Peoples R China.</t>
  </si>
  <si>
    <t>zskai@whu.edu.cn</t>
  </si>
  <si>
    <t>ZeMin, Wang/AAU-3422-2020</t>
  </si>
  <si>
    <t>State Bureau of Surveying and Mapping [1469990711109-1]; Chinese Arctic and Antarctic Administration [20070206]; National Science Foundation of China [40606002]</t>
  </si>
  <si>
    <t>State Bureau of Surveying and Mapping; Chinese Arctic and Antarctic Administration; National Science Foundation of China(National Natural Science Foundation of China (NSFC))</t>
  </si>
  <si>
    <t>We thank the members of the inland ice-sheet teams of CHINARE from 1996/97 to 2004/05. The Massachusetts Institute of Technology and the US National Snow and Ice Data Center provided the GAMIT/GLOBK software package and the RADARSAT-1 Antarctic Mapping Mission digital elevation model (RAMP DEM) respectively. We appreciate the helpful comments of Xiao Cunde and two anonymous reviewers. This work was supported by State Bureau of Surveying and Mapping (No. 1469990711109-1), Chinese Arctic and Antarctic Administration (No. 20070206) and the National Science Foundation of China (No. 40606002).</t>
  </si>
  <si>
    <t>10.3189/172756408784700716</t>
  </si>
  <si>
    <t>WOS:000257063000017</t>
  </si>
  <si>
    <t>Bell, C; Mair, D; Burgess, D; Sharp, M; Demuth, M; Cawkwell, F; Bingham, R; Wadham, J</t>
  </si>
  <si>
    <t>Bell, Christina; Mair, Douglas; Burgess, David; Sharp, Martin; Demuth, Michael; Cawkwell, Fiona; Bingham, Robert; Wadham, Jemma</t>
  </si>
  <si>
    <t>Spatial and temporal variability in the snowpack of a High Arctic ice cap: implications for mass-change measurements</t>
  </si>
  <si>
    <t>INTERNAL ACCUMULATION; PERCOLATION ZONE; GREENLAND; SHEET; SURFACE; FIRN; MELT; MODEL; STRATIGRAPHY; MELTWATER</t>
  </si>
  <si>
    <t>Interpretation of ice mass elevation changes observed by satellite altimetry demands quantification of the proportion of elevation change which is attributable to variations in firn densification. Detailed stratigraphic logging of snowpack structure and density was carried out at similar to 1 km intervals along a 47 km transect on Devon Ice Cap, Canada, in spring (pre-melt) and autumn (during/after melt) 2004 and 2006 to characterize seasonal snowpack variability across the full range of snow facies. Simultaneous meteorological measurements were gathered. Spring (pre-melt) snowpacks show low variability over large spatial scales, with low-magnitude changes in density. The end-of-summer/autumn density profiles show high variability in both 2004 and 2006, with vastly different melt regimes generating dissimilar patterns of ice-layer formation over the two melt seasons. Dye-tracing experiments from spring to autumn 2006 reveal that vertical and horizontal distribution of meltwater flow within and below the annual snowpack is strongly affected by the pre-existing, often subtle stratigraphic interfaces in the snowpack, rather than its bulk properties. Strong interannual variability suggests that using a simple relationship between air temperature, elevation and snowpack densification to derive mass change from measurements of elevation change across High Arctic ice caps may be misguided. Melt timing and duration are important extrinsic factors governing snowpack densification and ice-layer formation in summer, rather than averaged air temperatures.</t>
  </si>
  <si>
    <t>[Bell, Christina; Mair, Douglas] Univ Aberdeen, Dept Geog &amp; Environm, Elphinstone Rd, Aberdeen AB31 3UF, Scotland; [Burgess, David] Nat Resources Canada, Canada Ctr Remote Sensing, Ottawa, ON K1A OY7, Canada; [Sharp, Martin] Univ Alberta, Dept Earth &amp; Atmospher Sci, Edmonton, AB T6G 2E3, Canada; [Demuth, Michael] Nat Resources Canada, Natl Glaciol Grp, Ottawa, ON K1A 0E4, Canada; [Cawkwell, Fiona] Univ Coll Cork, Dept Geog, Cork, Ireland; [Bingham, Robert] British Antarctic Survey, Nat Environm Res Council, Cambridge CB3 0ET, England; [Wadham, Jemma] BristoI Glaciol Ctr, Sch Geog Sci, Bristol BS1 8SS, Avon, England</t>
  </si>
  <si>
    <t>University of Aberdeen; Natural Resources Canada; Strategic Policy &amp; Results Sector - Natural Resources Canada; Canada Centre for Mapping &amp; Earth Observation (CCMEO); University of Alberta; Natural Resources Canada; University College Cork; UK Research &amp; Innovation (UKRI); Natural Environment Research Council (NERC); NERC British Antarctic Survey; University of Bristol</t>
  </si>
  <si>
    <t>Bell, C (corresponding author), Univ Aberdeen, Dept Geog &amp; Environm, Elphinstone Rd, Aberdeen AB31 3UF, Scotland.</t>
  </si>
  <si>
    <t>christina.bell@abdn.ac.uk</t>
  </si>
  <si>
    <t>Wadham, Jemma L/G-3138-2014; Wadham, Jemma L/A-8352-2012; Cawkwell, Fiona/N-2424-2019; Bingham, Robert G/G-3576-2017</t>
  </si>
  <si>
    <t>Cawkwell, Fiona/0000-0002-7365-8909; Bingham, Robert G/0000-0002-0630-2021; Mair, Douglas/0000-0001-7009-5461</t>
  </si>
  <si>
    <t>UK Natural Environment Research Council [NER/O/S/2003/00620]; Natural Sciences and Engineering Research Council, Canada; Meteorological Service of Canada (CRYSYS programme); Canadian Circumpolar Institute; Northern Scientific Training Program (Department of Indian and Northern Affairs Canada); Canadian Space Agency GRIP Program; NERC [bas010013] Funding Source: UKRI</t>
  </si>
  <si>
    <t>UK Natural Environment Research Council(UK Research &amp; Innovation (UKRI)Natural Environment Research Council (NERC)); Natural Sciences and Engineering Research Council, Canada(Natural Sciences and Engineering Research Council of Canada (NSERC)); Meteorological Service of Canada (CRYSYS programme); Canadian Circumpolar Institute; Northern Scientific Training Program (Department of Indian and Northern Affairs Canada); Canadian Space Agency GRIP Program; NERC(UK Research &amp; Innovation (UKRI)Natural Environment Research Council (NERC))</t>
  </si>
  <si>
    <t>This paper is a contribution to the validation of the European Space Agency CryoSat mission. C.B., D.M. and R.B. were funded by the UK Natural Environment Research Council through grant NER/O/S/2003/00620. M.S. was supported by the Natural Sciences and Engineering Research Council, Canada, and the Meteorological Service of Canada (CRYSYS programme), and D.B. was supported by grants from the Canadian Circumpolar Institute and the Northern Scientific Training Program (Department of Indian and Northern Affairs Canada). M.D. was funded by a grant from the Canadian Space Agency GRIP Program. We thank J. Box and R. Koerner for valuable comments which greatly improved the manuscript. In situ data collection was supported by the Polar Continental Shelf Project (an agency of Natural Resources Canada). We also thank the Nunavut Research Institute and the communities of Resolute Bay and Grise Fjord for permission to conduct fieldwork on Devon Ice Cap. We acknowledge field assistance from S. Williamson, A. Gardner, L. Colgan, J. Davis, B. Danielson, J. Sekerka, L. Gray and J. Zheng.</t>
  </si>
  <si>
    <t>10.3189/172756408784700725</t>
  </si>
  <si>
    <t>WOS:000257063000022</t>
  </si>
  <si>
    <t>Salamatin, AN; Lipenkov, VY</t>
  </si>
  <si>
    <t>Schneebeli, M</t>
  </si>
  <si>
    <t>Salamatin, Andrey N.; Lipenkov, Vladimir Ya.</t>
  </si>
  <si>
    <t>Simple relations for the close-off depth and age in dry-snow densification</t>
  </si>
  <si>
    <t>ANNALS OF GLACIOLOGY, VOL 49, 2008</t>
  </si>
  <si>
    <t>International Symposium on Snow Science</t>
  </si>
  <si>
    <t>SEP 03-07, 2007</t>
  </si>
  <si>
    <t>Moscow, RUSSIA</t>
  </si>
  <si>
    <t>VOSTOK ICE CORE; AIR CONTENT; POLAR FIRN; ANTARCTICA; TEMPERATURE; PARAMETERS; CLIMATE; RECORD</t>
  </si>
  <si>
    <t>A physical model for the snow/firn densification process (Salamatin and others, 2006) and Martinerie and others' (1992, 1994) correlation for the firn density at the pore closure are employed to perform a scale analysis and computational experiments in order to deduce simplified relations for the close-off depth and ice age in quasi-stationary ice formation conditions. The critical snow density at which ice-grain rearrangement stops is used to take into account variability of snow structures subjected to densification. The results obtained are validated on a representative set of ice-core data from 22 sites which covers wide ranges of present-day temperatures and ice accumulation rates. A simple analytical approximation for the density-depth profile is proposed.</t>
  </si>
  <si>
    <t>[Salamatin, Andrey N.] Kazan VI Lenin State Univ, Kazan 420008, Russia</t>
  </si>
  <si>
    <t>Kazan Federal University</t>
  </si>
  <si>
    <t>Salamatin, AN (corresponding author), Kazan VI Lenin State Univ, Kazan 420008, Russia.</t>
  </si>
  <si>
    <t>Andrey.Salamatin@ksu.ru</t>
  </si>
  <si>
    <t>Salamatin, Andrey/A-9831-2016; Lipenkov, Vladimir/Q-8262-2016</t>
  </si>
  <si>
    <t>Salamatin, Andrey/0000-0002-5988-6024; Lipenkov, Vladimir/0000-0003-4221-5440</t>
  </si>
  <si>
    <t>Russian Basic Research Foundation [05-05-64797, 06-05-65174]; Laboratoire de Glaciologie et Geophysique de l'Environnement, Centre National de la Recherche Scientifique, France</t>
  </si>
  <si>
    <t>Russian Basic Research Foundation(Russian Foundation for Basic Research (RFBR)); Laboratoire de Glaciologie et Geophysique de l'Environnement, Centre National de la Recherche Scientifique, France</t>
  </si>
  <si>
    <t>This work is a contribution to Project 4 of the Subprogram 'Study and Research of the Antarctic', FTP 'World Ocean' of the Russian Federation and has been performed in the frame of the French-Russian research network (Groupement de recherche europeen (GDRE) 'Vostok'). It was funded by the Russian Basic Research Foundation through grant No. 05-05-64797 in the Kazan State University and grant No. 06-05-65174 in the Arctic and Antarctic Research Institute. The authors gratefully acknowledge the financial support from Laboratoire de Glaciologie et Geophysique de l'Environnement, Centre National de la Recherche Scientifique, France, to cover their participation at the International Symposium on Snow Science through GDRE 'Vostok'. Particular thanks are owed to R.L. Brown and an anonymous referee for their thorough reviews and useful comments which helped to improve the paper.</t>
  </si>
  <si>
    <t>10.3189/172756408787814889</t>
  </si>
  <si>
    <t>BJC94</t>
  </si>
  <si>
    <t>WOS:000264862900013</t>
  </si>
  <si>
    <t>Wang, W; Sun, M; Liu, WS</t>
  </si>
  <si>
    <t>Wang, Wei; Sun, Mi; Liu, Wan-Shun</t>
  </si>
  <si>
    <t>Isolation and characterisation of H2O2-decomposing bacteria from Antarctic seawater</t>
  </si>
  <si>
    <t>ANNALS OF MICROBIOLOGY</t>
  </si>
  <si>
    <t>Antarctic surface seawater; psychrophilic catalase; Bacillus; isolation; identification</t>
  </si>
  <si>
    <t>SP-NOV.; SEQUENCE ALIGNMENT; CATALASE; PURIFICATION; RADIATION</t>
  </si>
  <si>
    <t>Forty-nine colonies were isolated from Antarctic surface seawater sample inoculated on Marine agar plates containing 1.45 mu M H2O2. These bacteria were all endospore-forming, strictly aerobic and motile rods. Their cell extracts showed high catalase activity of 1200 295 U/mg. High activity of the catalase at low temperatures was in accordance with the environmental conditions under which the microorganisms lived. Identification of the Antarctic seawater isolates by several morphological, biochemical and cultural methods showed that they belonged to the same species, among which the strain N2a was chosen as representative. This strain was determined to be a member of Bacillus according to its 16S rDNA and fatty acids profile. However, culturing properties (growth at 4 degrees C and in 6% NaCl) and relatively high unsaturated fatty acids (&gt; 40%) of the strain N2a were different from those of the 16S rDNA phylogenetic relatives, exhibiting the characteristics of psychrotolerant marine bacteria. Thus these results supported the hypothesis that the Antarctic isolates were novel species of the genus Bacillus.</t>
  </si>
  <si>
    <t>[Wang, Wei; Liu, Wan-Shun] Ocean Univ China, Coll Marine Life Sci, Qingdao 266071, Peoples R China; [Wang, Wei; Sun, Mi] Chinese Acad Fishery Sci, Yellow Sea Fisheries Res Inst, Qingdao 266071, Peoples R China</t>
  </si>
  <si>
    <t>Ocean University of China; Chinese Academy of Fishery Sciences; Yellow Sea Fisheries Research Institute, CAFS</t>
  </si>
  <si>
    <t>Sun, M (corresponding author), Chinese Acad Fishery Sci, Yellow Sea Fisheries Res Inst, 106 Nanjing Rd, Qingdao 266071, Peoples R China.</t>
  </si>
  <si>
    <t>sunmi@ysfri.ac.cn</t>
  </si>
  <si>
    <t>1590-4261</t>
  </si>
  <si>
    <t>1869-2044</t>
  </si>
  <si>
    <t>ANN MICROBIOL</t>
  </si>
  <si>
    <t>Ann. Microbiol.</t>
  </si>
  <si>
    <t>10.1007/BF03179441</t>
  </si>
  <si>
    <t>Biotechnology &amp; Applied Microbiology; Microbiology</t>
  </si>
  <si>
    <t>287VM</t>
  </si>
  <si>
    <t>WOS:000254944600005</t>
  </si>
  <si>
    <t>Feltham, DL</t>
  </si>
  <si>
    <t>Feltham, Daniel L.</t>
  </si>
  <si>
    <t>Sea ice rheology</t>
  </si>
  <si>
    <t>ANNUAL REVIEW OF FLUID MECHANICS</t>
  </si>
  <si>
    <t>Annual Review of Fluid Mechanics</t>
  </si>
  <si>
    <t>Review; Book Chapter</t>
  </si>
  <si>
    <t>arctic; antarctic; climate model</t>
  </si>
  <si>
    <t>PACK ICE; ANISOTROPIC MODEL; CONSTITUTIVE LAW; DYNAMICS; DEFORMATION; THICKNESS; FLOW; GEOMETRY; COVER</t>
  </si>
  <si>
    <t>The polar oceans of Earth are covered by sea ice. On timescales much greater than a day, the motion and deformation of the sea ice cover (i.e., its dynamics) are primarily determined by atmospheric and oceanic tractions on its upper and lower surfaces and by internal ice forces that arise within the ice cover owing to its deformation. This review discusses the relationship between the internal ice forces and the deformation of the ice cover, focusing on representations suitable for inclusion within global climate models. I first draw attention to theories that treat the sea ice cover as an isotropic continuum and then to the recent development of anisotropic models that deal with the presence of oriented weaknesses in the ice cover, known as leads.</t>
  </si>
  <si>
    <t>[Feltham, Daniel L.] UCL, Ctr Polar Observat &amp; Modelling, Dept Earth Sci, London WC1E 6BT, England; [Feltham, Daniel L.] British Antarctic Survey, Cambridge CB3 0ET, England</t>
  </si>
  <si>
    <t>Feltham, DL (corresponding author), UCL, Ctr Polar Observat &amp; Modelling, Dept Earth Sci, Mortimer St, London WC1E 6BT, England.</t>
  </si>
  <si>
    <t>Daniel.Feltham@cpom.ucl.ac.uk</t>
  </si>
  <si>
    <t>Feltham, Daniel/0000-0003-2289-014X</t>
  </si>
  <si>
    <t>ANNUAL REVIEWS</t>
  </si>
  <si>
    <t>PALO ALTO</t>
  </si>
  <si>
    <t>4139 EL CAMINO WAY, PO BOX 10139, PALO ALTO, CA 94303-0139 USA</t>
  </si>
  <si>
    <t>0066-4189</t>
  </si>
  <si>
    <t>978-0-8243-0740-0</t>
  </si>
  <si>
    <t>ANNU REV FLUID MECH</t>
  </si>
  <si>
    <t>Annu. Rev. Fluid Mech.</t>
  </si>
  <si>
    <t>10.1146/annurev.fluid.40.111406.102151</t>
  </si>
  <si>
    <t>Mechanics; Physics, Fluids &amp; Plasmas</t>
  </si>
  <si>
    <t>Book Citation Index – Science (BKCI-S); Science Citation Index Expanded (SCI-EXPANDED)</t>
  </si>
  <si>
    <t>Mechanics; Physics</t>
  </si>
  <si>
    <t>258JD</t>
  </si>
  <si>
    <t>WOS:000252863300005</t>
  </si>
  <si>
    <t>Saikia, S; Saikia, D; Ramteke, PW</t>
  </si>
  <si>
    <t>Saikia, S.; Saikia, D.; Ramteke, P. W.</t>
  </si>
  <si>
    <t>USE OF MICROBES FROM SEABIRD FAECES TO EVALUATE HEAVY METAL CONTAMINATION IN ANTARCTIC REGION</t>
  </si>
  <si>
    <t>APPLIED ECOLOGY AND ENVIRONMENTAL RESEARCH</t>
  </si>
  <si>
    <t>Antarctica; skua; gut microflora; heavy metals</t>
  </si>
  <si>
    <t>SCHIRMACHER OASIS; ANTIBIOTIC-RESISTANCE; COLIFORM BACTERIA; IDENTIFICATION; PSEUDOMONAS; TOLERANCE; PLASMIDS; CADMIUM; RIVER</t>
  </si>
  <si>
    <t>This study evaluates the levels of heavy metal pollution in Antarctic marine ecosystem by monitoring gut microbial flora of seabird skua (Catharacta spp). Aerobic and anaerobic bacteria isolated from fresh faecal sample of skua were tested for their heavy metal tolerance and antibiotic resistance pattern. More than 50% isolates were able to tolerate 200 g/ml concentration of lead (Pb), chromium (Cr), zinc (Zn) and nickel (Ni) and &gt;80% isolates showed resistance towards Bacitracin. More than 50% isolates were resistance to multiple antibiotics (MAR) and the the traits were found to be plasmid-borne in nature. The elevated rate of tolerance to the heavy metals reflects an adaptive response to the toxic metals present in marine environment.</t>
  </si>
  <si>
    <t>[Saikia, S.; Ramteke, P. W.] CSIR, Ind Toxicol Res Ctr, Lucknow, Uttar Pradesh, India; [Saikia, D.] CSIR, Cent Inst Med &amp; Aromat Plants, Allahabad 211007, Uttar Pradesh, India</t>
  </si>
  <si>
    <t>Council of Scientific &amp; Industrial Research (CSIR) - India; CSIR - Indian Institute of Toxicology Research (IITR); Council of Scientific &amp; Industrial Research (CSIR) - India; CSIR - Central Institute of Medicinal &amp; Aromatic Plants (CIMAP)</t>
  </si>
  <si>
    <t>Ramteke, PW (corresponding author), CSIR, Ind Toxicol Res Ctr, Lucknow, Uttar Pradesh, India.</t>
  </si>
  <si>
    <t>pwramteke@yahoo.com</t>
  </si>
  <si>
    <t>Council of Scientific and Industrial Research (CSIR)</t>
  </si>
  <si>
    <t>Council of Scientific and Industrial Research (CSIR)(Council of Scientific &amp; Industrial Research (CSIR) - India)</t>
  </si>
  <si>
    <t>PWR wish to thank Director, National Centre for Antarctic and Ocean Research (Department of Ocean Development), Vasco-de-Gamma, Goa, for providing an opportunity to be a summer member of 18th Indian Scientific Expedition to Antarctica. Financial support by Council of Scientific and Industrial Research (CSIR) is gratefully acknowledged. The authors are thankful to CSIR, Govt of India for financial assistance.</t>
  </si>
  <si>
    <t>CORVINUS UNIV BUDAPEST</t>
  </si>
  <si>
    <t>BUDAPEST</t>
  </si>
  <si>
    <t>VILLANYI UT 29/43, BUDAPEST, H-1118, HUNGARY</t>
  </si>
  <si>
    <t>1589-1623</t>
  </si>
  <si>
    <t>1785-0037</t>
  </si>
  <si>
    <t>APPL ECOL ENV RES</t>
  </si>
  <si>
    <t>Appl. Ecol. Environ. Res.</t>
  </si>
  <si>
    <t>10.15666/aeer/0603_021031</t>
  </si>
  <si>
    <t>Ecology; Environmental Sciences</t>
  </si>
  <si>
    <t>438ST</t>
  </si>
  <si>
    <t>WOS:000265576400002</t>
  </si>
  <si>
    <t>Martin, GD; Vijay, JG; Laluraj, CM; Madhu, NV; Joseph, T; Nair, M; Gupta, GVM; Balachandran, KK</t>
  </si>
  <si>
    <t>Martin, G. D.; Vijay, J. G.; Laluraj, C. M.; Madhu, N. V.; Joseph, T.; Nair, M.; Gupta, G. V. M.; Balachandran, K. K.</t>
  </si>
  <si>
    <t>Fresh water influence on nutrient stoichiometry in a tropical estuary, southwest coast of India</t>
  </si>
  <si>
    <t>nutrient stoichiometry; Cochin backwaters; southwest coast of India</t>
  </si>
  <si>
    <t>COCHIN; SYSTEM</t>
  </si>
  <si>
    <t>Cochin backwaters, a micro tidal estuary, undergo a characteristic transformation from a river-dominated system during summer monsoon to a tide-dominant system during pre-monsoon season. The present study observes that as the river flow weakens after monsoon, the flushing of the estuary diminishes and the nitrogen and phosphorous loadings through anthropogenic activities (industries) and sediment re-suspension alter the nutrient stoichiometry substantially. The increased tidal activity during pre-monsoon changes the estuary into a vertically mixed, eutrophic and flow-restricted system supporting an enhanced organic production. This implies that monsoon-induced hydrology plays an important role in regulating the nutrients, secondary production and even the migrant fauna of the estuary. The system is delicately poised, as continuous release of pollutants including nutrients into this estuary would suppress fish and shell fish production, where only pollution tolerant species can exist.</t>
  </si>
  <si>
    <t>[Martin, G. D.; Vijay, J. G.; Madhu, N. V.; Joseph, T.; Nair, M.; Balachandran, K. K.] Reg Ctr, Natl Inst Oceanog, Kochi 682018, India; [Laluraj, C. M.] Natl Ctr Antarctic &amp; Ocean Res, Goa, India; [Gupta, G. V. M.] Minist Earth Sci, Integrated Coastal &amp; Marine Area Management Proje, Madras, Tamil Nadu, India</t>
  </si>
  <si>
    <t>Council of Scientific &amp; Industrial Research (CSIR) - India; CSIR - National Institute of Oceanography (NIO); Ministry of Earth Sciences (MoES) - India; National Centre for Polar and Ocean Research (NCPOR); Ministry of Earth Sciences (MoES) - India; National Centre for Coastal Research (NCCR)</t>
  </si>
  <si>
    <t>Martin, GD (corresponding author), Reg Ctr, Natl Inst Oceanog, PB 1913, Kochi 682018, India.</t>
  </si>
  <si>
    <t>kkbala@niokochi.org</t>
  </si>
  <si>
    <t>G.V.M., Gupta/GNW-6577-2022; GUPTA, GVM/HGF-2266-2022</t>
  </si>
  <si>
    <t>GUPTA, GVM/0000-0003-1437-9034</t>
  </si>
  <si>
    <t>Integrated Coastal and Marine Area Management (ICMAM-PD), Ministry of Earth Sciences, Chennai</t>
  </si>
  <si>
    <t>The authors wish to thank Dr. S.R. Shetye, Director, National Institute of Oceanography, Sh. Rasik Ravindra, Director, National Centre for Antarctic and Ocean Research, Goa, Dr. C.T. Achuthankutty, Scientist-in-Charge, NIO, Cochin and Dr. B. R. Subramanian, Director, ICMAM-PD, Chennai for the encouragement and help. This study forms a part of the project Ecosystem modeling of Cochin backwaters funded by Integrated Coastal and Marine Area Management (ICMAM-PD), Ministry of Earth Sciences, Chennai.</t>
  </si>
  <si>
    <t>345TI</t>
  </si>
  <si>
    <t>WOS:000259019300004</t>
  </si>
  <si>
    <t>Weihe, E; Abele, D</t>
  </si>
  <si>
    <t>Weihe, Ellen; Abele, Doris</t>
  </si>
  <si>
    <t>Differences in the physiological response of inter- and subtidal Antarctic limpets Nacella concinna to aerial exposure</t>
  </si>
  <si>
    <t>AQUATIC BIOLOGY</t>
  </si>
  <si>
    <t>Nacella concinna; Antarctic limpet; Air exposure; Water loss; Morphometry; Onset of anaerobic metabolism; pO(2)-regulation</t>
  </si>
  <si>
    <t>ENERGY-METABOLISM; INTRACELLULAR PH; STREBEL; REPRODUCTION; DESICCATION; OXYGENATION; ACMAEA; ISLAND; WATER; SIZE</t>
  </si>
  <si>
    <t>Antarctic intertidal zones are extremely harsh environments, and the Antarctic limpet Nacella concinna is one of the most conspicuous components of the macrofauna, colonizing such areas at King George Island, South Shetlands. The limpet subpopulation encompasses an intertidal and a subtidal ecomorph; these differ with respect to shell height and inner volume. We studied morphological, behavioural and physiological traits that distinguish both N. concinna subpopulations. We found a higher volume to circumference ratio of intertidal versus subtidal limpets to go along with a drastically reduced loss of body water during air exposure in intertidal specimens. Smaller intertidal limpets were less susceptible to desiccation than larger individuals. Further, the intertidal snails avoided accumulation of anaerobic metabolites (succinate, lactate and propionate), whereas subtidal limpets switched to anaerobic fermentation when exposed to air for &gt; 12 h. Only acetate accumulated in both types of snails after 1.2 h. Mean pO(2) in shell water was higher in intertidal (2.6 kPa) than subtidal individuals (1.3 kPa) when submersed under water, and only the intertidal snails appeared able to respire air on emersion. These differences document strong physiological diversification between shore levels and shell morphs in the Antarctic limpet subpopulation at King George Island.</t>
  </si>
  <si>
    <t>[Weihe, Ellen; Abele, Doris] Alfred Wegener Inst Polar &amp; Marine Res, Dept Shelf Sea Ecol, D-27570 Bremerhaven, Germany</t>
  </si>
  <si>
    <t>Helmholtz Association; Alfred Wegener Institute, Helmholtz Centre for Polar &amp; Marine Research</t>
  </si>
  <si>
    <t>Abele, D (corresponding author), Alfred Wegener Inst Polar &amp; Marine Res, Dept Shelf Sea Ecol, Handelshafen 12, D-27570 Bremerhaven, Germany.</t>
  </si>
  <si>
    <t>doris.abele@awi.de</t>
  </si>
  <si>
    <t>Abele, Doris/0000-0002-5766-5017</t>
  </si>
  <si>
    <t>DFG Antarctic programme [DFG-Ab124/7]</t>
  </si>
  <si>
    <t>DFG Antarctic programme(German Research Foundation (DFG))</t>
  </si>
  <si>
    <t>The authors thank M. Weeber for his excellent help during the experimental work in Jubany in 2007, T. Brey for help with the JMP data modelling, and S. Meyer for excellent technical assistance at the Alfred Wegener Institute. The study was funded by the DFG Antarctic programme, Giant Number DFG-Ab124/7 to D.A. We gratefully acknowledge the technical support by Argentine logistics staff during 2 summer seasons at Jubany Station. Finally, we thank 3 anonymous referees for constructive comments that helped improve the manuscript.</t>
  </si>
  <si>
    <t>1864-7790</t>
  </si>
  <si>
    <t>1864-7782</t>
  </si>
  <si>
    <t>AQUAT BIOL</t>
  </si>
  <si>
    <t>Aquat. Biol.</t>
  </si>
  <si>
    <t>10.3354/ab00103</t>
  </si>
  <si>
    <t>Marine &amp; Freshwater Biology</t>
  </si>
  <si>
    <t>394BW</t>
  </si>
  <si>
    <t>WOS:000262421200006</t>
  </si>
  <si>
    <t>Fahlman, A; Hastie, GD; Rosen, DAS; Naito, Y; Trites, AW</t>
  </si>
  <si>
    <t>Fahlman, A.; Hastie, G. D.; Rosen, D. A. S.; Naito, Y.; Trites, A. W.</t>
  </si>
  <si>
    <t>Buoyancy does not affect diving metabolism during shallow dives in Steller sea lions Eumetopias jubatus</t>
  </si>
  <si>
    <t>Body composition; Diving physiology; Marine mammal; Diving lung volume</t>
  </si>
  <si>
    <t>NORTHERN ELEPHANT SEALS; ANTARCTIC FUR SEALS; FORAGING BEHAVIOR; KING PENGUINS; APTENODYTES-PATAGONICUS; MARINE MAMMALS; BODY CONDITION; WEDDELL SEAL; FEMALE; EFFICIENCY</t>
  </si>
  <si>
    <t>Changes in buoyancy due to seasonal or abnormal changes in body composition are thought to significantly affect the energy budget of marine mammals through changes in diving costs. We assessed how changes in body composition might alter the foraging efficiency of Steller sea lions Eumetopias jubatus by artificially adjusting the buoyancy of trained individuals. PVC tubes were attached to harnesses worn by Steller sea lions that had been trained to feed at fixed depths (10 to 30 m) and to resurface inside a metabolic dome. Buoyancy was altered to simulate the naturally occurring differences in body composition reported in adult females (similar to 12 to 26% subcutaneous fat). Diving characteristics (transit times and time at depth) and aerobic energy expenditure (gas exchange) were measured. We found that foraging cost decreased with the duration of the dive and increased with dive depth. However, changes in body composition did not affect the diving metabolic rate of Steller sea lions for dives between 10 and 30 m. We propose that Steller sea lions may adjust their diving lung volume to compensate for changes in buoyancy to avoid additional metabolic costs.</t>
  </si>
  <si>
    <t>[Fahlman, A.; Hastie, G. D.; Rosen, D. A. S.; Trites, A. W.] Univ British Columbia, Fisheries Ctr, AERL, Marine Mammal Res Unit, Vancouver, BC V6T 1Z4, Canada; [Naito, Y.] Natl Inst Polar Res, Tokyo 1738515, Japan</t>
  </si>
  <si>
    <t>University of British Columbia; Research Organization of Information &amp; Systems (ROIS); National Institute of Polar Research (NIPR) - Japan</t>
  </si>
  <si>
    <t>Fahlman, A (corresponding author), Univ British Columbia, Fisheries Ctr, AERL, Marine Mammal Res Unit, Room 247, Vancouver, BC V6T 1Z4, Canada.</t>
  </si>
  <si>
    <t>andreas_fahlman@yahoo.com</t>
  </si>
  <si>
    <t>Fahlman, Andreas/A-2901-2011; Trites, Andrew/K-5648-2012; Hastie, Gordon D/D-8860-2011</t>
  </si>
  <si>
    <t>Fahlman, Andreas/0000-0002-8675-6479; Trites, Andrew/0000-0003-0342-5322; Hastie, Gordon/0000-0002-9773-2755</t>
  </si>
  <si>
    <t>North Pacific Marine Science Foundation; National Oceanographic and Atmospheric Administration</t>
  </si>
  <si>
    <t>North Pacific Marine Science Foundation; National Oceanographic and Atmospheric Administration(National Oceanic Atmospheric Admin (NOAA) - USA)</t>
  </si>
  <si>
    <t>Funding was provided to the North Pacific Universities Marine Mammal Research Consortium by the North Pacific Marine Science Foundation and the National Oceanographic and Atmospheric Administration. We are also particularly grateful for the insightful comments of the referees and for the assistance from our research technicians (D. Gummieson, R. Marshall, J. Potter and R. MacVicar), animal trainers (V. Mercer, G. Shepherd, T. Neal, N. Waller and B. Lasby) and administrative staff at the Open Water Research Station and the Vancouver Aquarium.</t>
  </si>
  <si>
    <t>10.3354/ab00074</t>
  </si>
  <si>
    <t>362XZ</t>
  </si>
  <si>
    <t>WOS:000260231800006</t>
  </si>
  <si>
    <t>Wulff, A; Roleda, MY; Zacher, K; Wiencke, C</t>
  </si>
  <si>
    <t>Wulff, Angela; Roleda, Michael Y.; Zacher, Katharina; Wiencke, Christian</t>
  </si>
  <si>
    <t>UV radiation effects on pigments, photosynthetic efficiency and DNA of an Antarctic marine benthic diatom community</t>
  </si>
  <si>
    <t>Benthic diatoms; UV radiation; UV-B radiation; Xanthophyll pigments; F-v/F-m; DNA damage; Microphytobenthos; P-E curve</t>
  </si>
  <si>
    <t>ULTRAVIOLET-B RADIATION; DIADINOXANTHIN CYCLE; XANTHOPHYLL-CYCLE; PHAEODACTYLUM-TRICORNUTUM; ELECTRON-TRANSPORT; PHOTOSYSTEM-II; PHYTOPLANKTON; DAMAGE; LIGHT; FLUORESCENCE</t>
  </si>
  <si>
    <t>The impact of ultraviolet radiation (UVR) on a semi-natural, soft-bottom diatom community from Potter Cove, King Georg Island, Antarctica, was investigated. The objective was to estimate the impact of UV-B (280 to 320 nm) and UV-A (320 to 400 nm) on photosynthetic efficiency, pigments, DNA damage and repair. The diatom community was exposed to different doses of radiation treatments: PAR + UV-A + UV-B (PAB), PAR + UV-A (PA) and PAR (P). The most frequently observed species were Pleurosigma obscurum and Gyrosigma fasciola. Within the 0.7 mm substrate, UV radiation significantly reduced the Photosystem II (PS II) maximum efficiency (F-v/F-m). Complete recovery was observed after 6 h post-cultivation under dim white light. The accumulation of diatoxanthin increased with exposure time for the P and PA treatments, but not for the PAB treatment, indicating a UV-B-related blocking of the de-epoxidation process within the xanthophyll cycling process. The ratio of diatoxanthin:(diatoxanthin+diadinoxanthin) decreased again to initial values after 24 h of recovery. The amount of DNA damage, measured as accumulation of cyclobutane pyrimidine dimers (CPDs), was minimal and increased with increasing UV-B dose, but DNA lesions were completely repaired within 24 h under dim white light. Regardless of possible avoidance strategies, e.g. vertical migration, negative UV treatment effects were observed. However, these effects were transient, facilitated by the dynamic recovery of photoinhibition and an efficient DNA damage repair mechanism. Although results from laboratory experiments using artificial radiation can only be extrapolated to field conditions with great caution, we conclude that Antarctic marine benthic diatoms inoculated into a semi-natural habitat are resilient to unnaturally high UVR.</t>
  </si>
  <si>
    <t>[Wulff, Angela] Univ Gothenburg, S-40530 Gothenburg, Sweden; [Roleda, Michael Y.] Univ Kiel, Inst Polar Ecol, D-24148 Kiel, Germany; [Zacher, Katharina; Wiencke, Christian] Alfred Wegener Inst Polar &amp; Marine Res, D-27570 Bremerhaven, Germany</t>
  </si>
  <si>
    <t>University of Gothenburg; University of Kiel; Helmholtz Association; Alfred Wegener Institute, Helmholtz Centre for Polar &amp; Marine Research</t>
  </si>
  <si>
    <t>Wulff, A (corresponding author), Univ Gothenburg, POB 461, S-40530 Gothenburg, Sweden.</t>
  </si>
  <si>
    <t>angela.wulff@marecol.gu.se</t>
  </si>
  <si>
    <t>Roleda, Michael Y./H-9645-2019</t>
  </si>
  <si>
    <t>Roleda, Michael Y./0000-0003-0568-9081</t>
  </si>
  <si>
    <t>Foundation of YMER; Royal Society of Arts and Sciences in Goteborg; Lermander's Foundation; Langman Cultural Foundation; Helge Ax:son Johnson's Foundation; German Research Council (DFG); Alfred Wegener Institute for Polar and Marine Research, Germany</t>
  </si>
  <si>
    <t>Foundation of YMER; Royal Society of Arts and Sciences in Goteborg; Lermander's Foundation; Langman Cultural Foundation; Helge Ax:son Johnson's Foundation; German Research Council (DFG)(German Research Foundation (DFG)); Alfred Wegener Institute for Polar and Marine Research, Germany</t>
  </si>
  <si>
    <t>This work was done under the agreement on scientific cooperation between the AWI and DNA at Dallmann Laboratory, annex to Jubany Station. The authors thank A. Y. Al-Handal for help with species identifications, and the German and the Argentine dive crews of Jubany and Dallmann for assistance in the field. We gratefully acknowledge financial support by the Foundation of YMER, Royal Society of Arts and Sciences in Goteborg, Lermander's Foundation, The Langman Cultural Foundation and Helge Ax:son Johnson's Foundation (A.W.), the German Research Council (DFG), and the Alfred Wegener Institute for Polar and Marine Research, Germany.</t>
  </si>
  <si>
    <t>10.3354/ab00076</t>
  </si>
  <si>
    <t>WOS:000260231800008</t>
  </si>
  <si>
    <t>Martin, A; Hall, JA; O'Toole, R; Davy, SK; Ryan, KG</t>
  </si>
  <si>
    <t>Martin, Andrew; Hall, Julie A.; O'Toole, Ronan; Davy, Simon K.; Ryan, Ken G.</t>
  </si>
  <si>
    <t>High single-cell metabolic activity in Antarctic sea ice bacteria</t>
  </si>
  <si>
    <t>sea ice bacteria; Antarctica; activity; viability; physiological probes</t>
  </si>
  <si>
    <t>SITU HYBRIDIZATION FISH; MICROBIAL COMMUNITIES; PHYLOGENETIC DIVERSITY; RESPIRING BACTERIA; COASTAL WATERS; SOUTHERN-OCEAN; PROBES; TEMPERATURE; ECOSYSTEMS; CTC</t>
  </si>
  <si>
    <t>Antarctic sea ice bacteria have historically been examined by techniques that measure bulk community properties. In recognition of the complexity of microbial community structure and function, methods are now available to assess the physiological status of individual bacterial cells. We employed 3 assays: Nucleic Acid Double Staining (NADS), modified Vital Stain and Probe (mVSP) and 5-cyano-2,3-ditolyl tetrazolium chloride (CTC) to (1) quantify the cell-specific metabolic status of bacteria present in the bottom of Antarctic fast-ice and (2) determine whether physiological probes can be used to quantify short-term changes in bacterial metabolic activity. Each assay was used in manipulative experiments (&lt; 8 h) conducted on bacteria from melted ice cores with dark/light (5 mu mol photons m(-2) s(-1)) and the presence/absence of microalgae (filtered, unfiltered samples) as treatment variables. Estimates of cell viability (intact membranes) were &gt; 68 % (NADS) and &gt; 95 % (mVSP) of the post-incubation cell count. High cellular rRNA content was observed using fluorescence in situ hybridisation with an average of 80% of DAPI-stained cells hybridising with the general bacterial probe EUB338 (mVSP). An average of 32 % of the bacterial cells were undergoing active respiration (CTC+) which is significantly higher than the 2 to 10 % level of activity typical for most marine systems. The short-term effect of incubation irradiance or manipulation of microalgal photosynthate was not significant for any assay. Single-cell analysis of melted ice cores suggests that sea ice is among the most productive microbial habitats, while CTC is favoured for establishing a real-time bacterial response in the sea ice ecosystem.</t>
  </si>
  <si>
    <t>[Martin, Andrew; O'Toole, Ronan; Davy, Simon K.; Ryan, Ken G.] Victoria Univ Wellington, Wellington 6140, New Zealand; [Hall, Julie A.] Natl Inst Water &amp; Atmospher Res, Hamilton 3216, New Zealand</t>
  </si>
  <si>
    <t>Victoria University Wellington; National Institute of Water &amp; Atmospheric Research (NIWA) - New Zealand</t>
  </si>
  <si>
    <t>Martin, A (corresponding author), Victoria Univ Wellington, POB 600, Wellington 6140, New Zealand.</t>
  </si>
  <si>
    <t>andrew.martin@vuw.ac.nz</t>
  </si>
  <si>
    <t>Ryan, Ken/F-5652-2013; O'Toole, Ronan F/J-7280-2014; Martin, Andrew/F-5688-2013</t>
  </si>
  <si>
    <t>O'Toole, Ronan F/0000-0002-4579-4479; Martin, Andrew/0000-0001-8260-5529; Ryan, Ken/0000-0001-7075-0112; Davy, Simon/0000-0003-3584-5356</t>
  </si>
  <si>
    <t>10.3354/ame01205</t>
  </si>
  <si>
    <t>335ZS</t>
  </si>
  <si>
    <t>WOS:000258334700003</t>
  </si>
  <si>
    <t>Ortega-Retuerta, E; Reche, I; Pulido-Villena, E; Agustí, S; Duarte, CM</t>
  </si>
  <si>
    <t>Ortega-Retuerta, E.; Reche, I.; Pulido-Villena, E.; Agusti, S.; Duarte, C. M.</t>
  </si>
  <si>
    <t>Exploring the relationship between active bacterioplankton and phytoplankton in the Southern Ocean</t>
  </si>
  <si>
    <t>active bacteria; NADS; HNA; LNA; bacterial production; chlorophyll a; Southern Ocean</t>
  </si>
  <si>
    <t>NUCLEIC-ACID CONTENT; FLOW-CYTOMETRIC ANALYSIS; NATURAL PLANKTONIC BACTERIA; MARINE BACTERIOPLANKTON; METABOLIC-ACTIVITY; HETEROTROPHIC BACTERIA; ANTARCTIC PENINSULA; MEMBRANE INTEGRITY; ORGANIC-CARBON; AUSTRAL SUMMER</t>
  </si>
  <si>
    <t>Bacterioplankton are a heterogenous community composed of cells with different physiological states. The consideration of the active fraction of bacterioplankton as a potential factor affecting the strength of the relationship between bacteria and phytoplankton in the Southern Ocean was evaluated in waters around the Antarctic Peninsula. We estimated active bacterioplankton from uptake of H-3-Leucine (bacterial production [BP]) and using vital stains to estimate their proportion within the total bacterioplankton community, based on their relative nucleic acid content (high [HNA] vs. low [LNA]), and by nucleic acid double staining (NADS), based on their membrane permeability. Then we performed a comparative analysis between total and active bacterioplankton and chlorophyll a (chl a) in this area. Staining with NADS suggested that 61 % of all bacteria were viable, a higher proportion of the total bacterial community than previously reported for the Southern Ocean. HNA bacteria comprised 45 % of all bacteria, indicating that 16 % of bacteria may be viable but with LNA. BP was more strongly related to abundance of LNA cells than NADS-viable or HNA bacteria. The relationship between chl a and bacterial abundance (BA) did not increase when considering the abundance of HNA or NADS-viable cells alone, showing that viability/activity of stains did not enhance the linkage between BA and phytoplankton biomass in the Southern Ocean. In contrast, the relationship between chl a and BP was stronger than those reported in the literature, suggesting that, in this region, BP is closely dependent on phytoplankton.</t>
  </si>
  <si>
    <t>[Ortega-Retuerta, E.; Reche, I.] Univ Granada, Fac Ciencias, Dept Ecol, E-18071 Granada, Spain; [Reche, I.] Univ Granada, Inst Agua, E-18071 Granada, Spain; [Pulido-Villena, E.] Lab Oceanog Villefranche, Villefranche Sur Mer, France; [Agusti, S.; Duarte, C. M.] CSIC UIB, Inst Mediterrani Estudis Avancats IMEDEA, Esporles 07190, Illes Balears, Spain</t>
  </si>
  <si>
    <t>University of Granada; University of Granada; Sorbonne Universite; Consejo Superior de Investigaciones Cientificas (CSIC); ATTITUS Educacao; University of Barcelona; Universitat de les Illes Balears</t>
  </si>
  <si>
    <t>Ortega-Retuerta, E (corresponding author), Univ Granada, Fac Ciencias, Dept Ecol, E-18071 Granada, Spain.</t>
  </si>
  <si>
    <t>evaor@ugr.es</t>
  </si>
  <si>
    <t>Agusti, Susana/H-8421-2012; Duarte Quesada, Carlos Manuel/ABD-6208-2021; Reche, Isabel/K-7120-2014; Duarte, Carlos M/A-7670-2013; Agusti, Susana/G-2864-2017; Ortega-Retuerta, Eva/I-2432-2015</t>
  </si>
  <si>
    <t>Reche, Isabel/0000-0003-2908-1724; Duarte, Carlos M/0000-0002-1213-1361; Agusti, Susana/0000-0003-0536-7293; Ortega-Retuerta, Eva/0000-0003-0780-8347; Pulido, Elvira/0000-0002-5436-2133</t>
  </si>
  <si>
    <t>10.3354/ame01216</t>
  </si>
  <si>
    <t>WOS:000258334700009</t>
  </si>
  <si>
    <t>Thomson, PG; Davidson, AT; Cadman, N</t>
  </si>
  <si>
    <t>Thomson, Paul G.; Davidson, Andrew T.; Cadman, Nina</t>
  </si>
  <si>
    <t>Temporal changes in effects of ambient UV radiation on natural communities of Antarctic marine protists</t>
  </si>
  <si>
    <t>Antarctic; marine protists; UV-A; UV-B; ozone; diatoms; flagellates; dinoflagellates</t>
  </si>
  <si>
    <t>ULTRAVIOLET-B RADIATION; SEA-ICE; COASTAL WATERS; PHAEOCYSTIS-ANTARCTICA; MICROBIAL ASSEMBLAGES; SPECIES COMPOSITION; AQUATIC ORGANISMS; EAST ANTARCTICA; OZONE DEPLETION; SOUTHERN-OCEAN</t>
  </si>
  <si>
    <t>The effects of ambient solar UV radiation (280 to 400 nm) were determined using 3 natural marine protist communities incubated in 650 1 tanks (minicosms) for 13 to 14 d over the summer of 2002-2003 at Davis Station, Antarctica. Minicosms were exposed to ambient light that was variously attenuated to give treatments of photosynthetically active radiation (PAR, &gt;= 385 nm wavelength), PAR + UV-A radiation (315 to 385 nm), and PAR + UV-A + 4 different treatments of UV-B radiation (280 to 315 nm) that simulated a range of equivalent depths (ED) in the water column from 4.43 to 7.15 m. Results showed a seasonal progression in the response of microbial communities to UV radiation exposure. The first experiment in November showed that the microbial community was significantly inhibited in the PAR + UV-A-exposed treatment but this inhibition declined with increasing addition of UV-B radiation. The second experiment in December showed that UV-A or UV-B radiation had few significant effects. Like in Expt 1, some taxa were inhibited by PAR + UV-A or promoted by UV-B, but most were inhibited at the highest UV-B irradiances (&lt;= 4.43 m ED). The last experiment in January showed UV-B induced inhibition of all but one of the dominant taxa. The seasonal transition in UV wavelengths responsible for inhibition of protists may be due to ozone reduction, the light history of protists, and/or changes in species composition. The increasing UV-B-induced inhibition we observed over the summer corresponded to a decline in ozone concentrations over Davis. This recurrent decline in ozone over Antarctica between January and April coincides with blooms of diatoms that appear to have low UV-B tolerance but are responsible for similar to 47% of annual primary production in Antarctic waters.</t>
  </si>
  <si>
    <t>[Thomson, Paul G.; Davidson, Andrew T.; Cadman, Nina] Australian Antarctic Div, Dept Environm &amp; Water Resources, Kingston, Tas 7050, Australia; [Thomson, Paul G.; Davidson, Andrew T.] Univ Tasmania, ACE CRC, Hobart, Tas 7001, Australia</t>
  </si>
  <si>
    <t>Australian Antarctic Division; University of Tasmania; Antarctic Climate &amp; Ecosystems Cooperative Research Centre (ACE CRC)</t>
  </si>
  <si>
    <t>Thomson, PG (corresponding author), Australian Antarctic Div, Dept Environm &amp; Water Resources, Channel Highway, Kingston, Tas 7050, Australia.</t>
  </si>
  <si>
    <t>paul.thomson@aad.gov.au</t>
  </si>
  <si>
    <t>Australian Antarctic Division (AAD)</t>
  </si>
  <si>
    <t>This research was supported by AAS Project 40 and the Australian Antarctic Division (AAD). We gratefully acknowledge the assistance of S. Wright and R. van den Enden with pigment analyses, AAD technical support in designing and equipping the minicosms and Davis Station expeditioners in the summer of 2002-2003 for their support and assistance.</t>
  </si>
  <si>
    <t>10.3354/ame01201</t>
  </si>
  <si>
    <t>340FC</t>
  </si>
  <si>
    <t>WOS:000258630500003</t>
  </si>
  <si>
    <t>Meiners, K; Krembs, C; Gradinger, R</t>
  </si>
  <si>
    <t>Meiners, Klaus; Krembs, Christopher; Gradinger, Rolf</t>
  </si>
  <si>
    <t>Exopolymer particles: microbial hotspots of enhanced bacterial activity in Arctic fast ice (Chukchi Sea)</t>
  </si>
  <si>
    <t>sea ice; Arctic; exopolymer particles; extracellular polymeric substances; particle colonisation; bacterial activity; CTC</t>
  </si>
  <si>
    <t>DISSOLVED ORGANIC-MATTER; MARINE BACTERIOPLANKTON; VERTICAL-DISTRIBUTION; RESPIRING BACTERIA; SIZE DISTRIBUTION; MACKENZIE SHELF; ALGAL BLOOM; ABUNDANCE; TEP; WINTER</t>
  </si>
  <si>
    <t>Sea ice is an important structuring element of Arctic marine ecosystems and provides a vast low-temperature habitat for ice-associated bacteria. While it is now known that sea ice sequesters large amounts of extracellular polymeric substances (EPS) contributing significantly to its particulate organic carbon pool, the ecological role of EPS in sea ice is poorly understood. Using in situ incubations combined with a newly developed triple-staining method (Alcian Blue, DAPI, CTC), we determined the number of CTC-reducing (i.e. actively respiring) sea-ice bacteria living freely or attached to gel-like exopolymer particles. Samples were collected at 6 depths from Chukchi Sea coastal fast ice in April, May and June 2003. Concentrations of exopolymer particles ranged between 1.8 x 10(6) and 149.1 x 10(6) particles l(-1) (average 4.7 x 10(6) particles l(-1)) and showed strong vertical gradients with maximum concentrations at the ice-water interface. Total bacterial numbers (TBN) ranged from 0.18 x 10(9) to 8.48 x 10(9) cells l(-1) with an average fraction of 7.4 % of actively respiring cells (range 3.0 to 17.2 % of TBN). The attached bacterial fraction (range 4.6 to 28.5 %, average 15.0 % of TBN) showed a significantly, approximately 4 times higher proportion of actively respiring cells (average 19.6 %, range 7.8 to 37.6 %) when compared to the free-living fraction that had an average of 5.4 % (range 1.1 to 11.2 %) of actively respiring cells. In conclusion, exopolymer particles in sea ice are microbial hotspots of increased bacterial activity able to foster enhanced biogeochemical cycling.</t>
  </si>
  <si>
    <t>[Meiners, Klaus] Antarctic Climate &amp; Ecosyst Cooperat Res Ctr, Hobart, Tas 7001, Australia; [Krembs, Christopher] Univ Washington, Polar Sci Ctr, Appl Phys Lab, Seattle, WA 98105 USA; [Gradinger, Rolf] Univ Alaska Fairbanks, Inst Marine Sci, Fairbanks, AK 99775 USA</t>
  </si>
  <si>
    <t>Antarctic Climate &amp; Ecosystems Cooperative Research Centre (ACE CRC); University of Washington; University of Washington Seattle; University of Alaska System; University of Alaska Fairbanks</t>
  </si>
  <si>
    <t>Meiners, K (corresponding author), Antarctic Climate &amp; Ecosyst Cooperat Res Ctr, Private Bag 80, Hobart, Tas 7001, Australia.</t>
  </si>
  <si>
    <t>klaus.meiners@acecrc.org.au</t>
  </si>
  <si>
    <t>Gradinger, Rolf/E-4965-2015</t>
  </si>
  <si>
    <t>Gradinger, Rolf/0000-0001-6035-3957</t>
  </si>
  <si>
    <t>National Science Foundation [0221055, 0125464]</t>
  </si>
  <si>
    <t>National Science Foundation(National Science Foundation (NSF))</t>
  </si>
  <si>
    <t>We thank the Barrow Arctic Science Consortium and especially M. Irinaga for their support of our work in Barrow. We thank B. Bluhm and M. Nielson for their help in the field. The helpful comments of D. Lannuzel, B. Pasquer and 3 anonymous reviewers are gratefully acknowledged. Parts of this work were performed while K.M. was a Gaylord Donnelly Environmental Fellow at Yale University's Department of Geology and Geophysics and the Yale Institute for Biospheric Studies. This research was supported by the Australian Government Cooperative Research Programme through the Antarctic Climate and Ecosystems Cooperative Research Centre (ACE CRC). The work of C.K. was supported by the National Science Foundation under Grant No. 0221055. R.G.'s participation in this study was supported by the National Science Foundation under Grant No. 0125464.</t>
  </si>
  <si>
    <t>10.3354/ame01214</t>
  </si>
  <si>
    <t>WOS:000258630500008</t>
  </si>
  <si>
    <t>Stein, R</t>
  </si>
  <si>
    <t>Stein, R.</t>
  </si>
  <si>
    <t>Arctic Ocean Sediments: Processes, Proxies, and Paleoenvironment</t>
  </si>
  <si>
    <t>ARCTIC OCEAN SEDIMENTS: PROCESSES, PROXIES, AND PALEOENVIRONMENT</t>
  </si>
  <si>
    <t>Developments in Marine Geology</t>
  </si>
  <si>
    <t>PARTICULATE ORGANIC-CARBON; LAST GLACIAL MAXIMUM; SEA-SURFACE TEMPERATURES; NORWEGIAN-GREENLAND SEA; NORTH-ATLANTIC OCEAN; ANTARCTIC ICE-SHEET; TETRAETHER MEMBRANE-LIPIDS; DEEP-WATER CIRCULATION; LONG-CHAIN ALKENONES; EURASIAN CONTINENTAL-MARGIN</t>
  </si>
  <si>
    <t>SARA BURGERHARTSTRAAT 25, PO BOX 211, 1000 AE AMSTERDAM, NETHERLANDS</t>
  </si>
  <si>
    <t>1572-5480</t>
  </si>
  <si>
    <t>978-0-08-055885-1; 978-0-44-452018-0</t>
  </si>
  <si>
    <t>DEV MARINE GEOL</t>
  </si>
  <si>
    <t>Geology; Oceanography</t>
  </si>
  <si>
    <t>BCN74</t>
  </si>
  <si>
    <t>WOS:000310793500010</t>
  </si>
  <si>
    <t>Casiccia, C; Zamorano, F; Hernández, A</t>
  </si>
  <si>
    <t>Casiccia, C.; Zamorano, F.; Hernandez, A.</t>
  </si>
  <si>
    <t>Erythemal irradiance at the Magellan's region and Antarctic ozone hole 1999-2005</t>
  </si>
  <si>
    <t>ATMOSFERA</t>
  </si>
  <si>
    <t>ozone; ozone hole; UV-B radiation; Antarctic ozone hole</t>
  </si>
  <si>
    <t>PUNTA-ARENAS; ULTRAVIOLET-RADIATION; SOUTHERN CHILE</t>
  </si>
  <si>
    <t>The most austral zone of the Southern Cone of South America, which is sometimes under the influence of the Antarctic Ozone Hole (AOH), occasionally receives enhanced levels of ultraviolet B radiation (UV-B: 280-320 nm). Ultraviolet erythemal irradiance measurements began in 1999 by the University of Magallanes in Punta Arenas (Lat. 53.0 degrees S; Lon. 70.9 degrees W), Chile, with the installation of four instruments in different locations in the Magallanes region, which is the southernmost region in Chile and the nearest to the Antarctic Continent. Data from Solar Light instruments, the Brewer spectrophotometer (Serial 180) and the Total Ozone Mapping Spectrometer (TOMS) from 1999 to 2005 for the Magellan's Region is presented in this paper. These data show a significant number of days in 2004 with low ozone conc entrations, specifying that recovery of the ozone column at these latitudes is still uncertain. Data of erythemal measurements from the stations that are part of the Magallanes network were analyzed, with extra attention given to the spring-summer period when the activity of the AOH is more intense. On several occasions important decreases down to 20-53% in the total ozone column were observed. Along with these decreases, increased levels of UV-B radiation were observed. When compared to normal daily concentration values of the total ozone, the days with increased UV-B levels reached values between similar to 50 and similar to 200% above normal at the different stations.</t>
  </si>
  <si>
    <t>[Casiccia, C.; Zamorano, F.] Univ Magallanes, UMAG, Lab Ozono &amp; Radiac Ultravileta, Punta Arenas, Chile; [Casiccia, C.; Zamorano, F.; Hernandez, A.] Ctr Estudios Cuaternario Furego Patagonia &amp; Antar, Punta Arenas, Chile</t>
  </si>
  <si>
    <t>Universidad de Magallanes</t>
  </si>
  <si>
    <t>Casiccia, C (corresponding author), Univ Magallanes, UMAG, Lab Ozono &amp; Radiac Ultravileta, Avda Bulnes 01855,Casilla 113-D, Punta Arenas, Chile.</t>
  </si>
  <si>
    <t>claudio.casiccia@umag.cl</t>
  </si>
  <si>
    <t>CENTRO CIENCIAS ATMOSFERA UNAM</t>
  </si>
  <si>
    <t>MEXICO CITY</t>
  </si>
  <si>
    <t>CIRCUITO EXTERIOR, MEXICO CITY CU 04510, MEXICO</t>
  </si>
  <si>
    <t>0187-6236</t>
  </si>
  <si>
    <t>Atmosfera</t>
  </si>
  <si>
    <t>JAN 1</t>
  </si>
  <si>
    <t>257YB</t>
  </si>
  <si>
    <t>WOS:000252834300001</t>
  </si>
  <si>
    <t>Johannessen, OM</t>
  </si>
  <si>
    <t>Johannessen, Ola M.</t>
  </si>
  <si>
    <t>Decreasing Arctic Sea Ice Mirrors Increasing CO2 on Decadal Time Scale</t>
  </si>
  <si>
    <t>ATMOSPHERIC AND OCEANIC SCIENCE LETTERS</t>
  </si>
  <si>
    <t>CO2 increase; ice decrease; ice projection to 2050</t>
  </si>
  <si>
    <t>CLIMATE-CHANGE; TEMPERATURE; COVER</t>
  </si>
  <si>
    <t>Arctic sea ice is a keystone indicator of greenhouse-gas induced global climate change, which is expected to be amplified in the Arctic. Here we directly compare observed variations in arctic sea-ice extent and CO2 since the beginning of the 20th century, identifying a strengthening linkage, such that in recent decades the rate of sea-ice decrease mirrors the increase in CO2, with r similar to -0.95 over the last four decades, thereby indicating that 90% (r(2) similar to 0.90) of the decreasing sea-ice extent is empirically accounted for by the increasing CO2 in the atmosphere. The author presents an empirical relation between annual sea-ice extent and global atmospheric CO2 concentrations, in which sea-ice reductions are linearly, inversely proportional to the magnitude of increase of CO2 over the last few decades. This approximates sea-ice changes during the most recent four decades, with a proportionality constant of 0.030 million km(2) per ppmv CO2. When applied to future emission scenarios of the Intergovernmental Panel on Climate Change ( IPCC), this relationship results in substantially faster ice decreases up to 2050 than predicted by IPCC models. However, departures from this projection may arise from non-linear feedback effects and/or temporary natural variations on interannual timescales, such as the record minimum of sea-ice extent observed in September 2007.</t>
  </si>
  <si>
    <t>[Johannessen, Ola M.] Nansen Environm &amp; Remote Sensing Ctr, Mohn Sverdrup Ctr Global Ocean Studies &amp; Operat O, N-5006 Bergen, Norway; [Johannessen, Ola M.] Univ Bergen, Geophys Inst, N-5007 Bergen, Norway</t>
  </si>
  <si>
    <t>Nansen Environmental &amp; Remote Sensing Center (NERSC); University of Bergen</t>
  </si>
  <si>
    <t>Johannessen, OM (corresponding author), Nansen Environm &amp; Remote Sensing Ctr, Mohn Sverdrup Ctr Global Ocean Studies &amp; Operat O, N-5006 Bergen, Norway.</t>
  </si>
  <si>
    <t>ola.johannessen@nersc.no</t>
  </si>
  <si>
    <t>Mohn-Sverdrup Center for Global Ocean Studies and Operational Oceanography at the Nansen Center; Research Council of Norway</t>
  </si>
  <si>
    <t>Mohn-Sverdrup Center for Global Ocean Studies and Operational Oceanography at the Nansen Center; Research Council of Norway(Research Council of Norway)</t>
  </si>
  <si>
    <t>This work has been supported by the Mohn-Sverdrup Center for Global Ocean Studies and Operational Oceanography at the Nansen Center and the Research Council of Norway, and is a contribution to the International Polar Year - Climate of the Arctic and its Role for Europe (IPY-CARE) project, headed by the author. Thanks are to Ingo Bethke, Cathrine Myrmehl, Elena Shalina, Svetlana Kuzmina, Tor I. Olaussen and Natalia Ivanova for carrying out the calculations and preparing the figures, and Martin Miles and Klaus Hasselmann for consultation. Also thanks to one of the reviewer who raised the Antarctic issue.</t>
  </si>
  <si>
    <t>2-4 PARK SQUARE, MILTON PARK, ABINGDON OR14 4RN, OXON, ENGLAND</t>
  </si>
  <si>
    <t>1674-2834</t>
  </si>
  <si>
    <t>2376-6123</t>
  </si>
  <si>
    <t>ATMOS OCEAN SCI LETT</t>
  </si>
  <si>
    <t>Atmos. Ocean. Sci. Lett.</t>
  </si>
  <si>
    <t>10.1080/16742834.2008.11446766</t>
  </si>
  <si>
    <t>Emerging Sources Citation Index (ESCI)</t>
  </si>
  <si>
    <t>VC3IB</t>
  </si>
  <si>
    <t>WOS:000433678000011</t>
  </si>
  <si>
    <t>Sica, RJ; Izawa, MRM; Walker, KA; Boone, C; Petelina, SV; Argall, PS; Bernath, P; Burns, GB; Catoire, V; Collins, RL; Daffer, WH; De Clercq, C; Fan, ZY; Firanski, BJ; French, WJR; Gerard, P; Gerding, M; Granville, J; Innis, JL; Keckhut, P; Kerzenmacher, T; Klekociuk, AR; Kyrö, E; Lambert, JC; Llewellyn, EJ; Manney, GL; McDermid, IS; Mizutani, K; Murayama, Y; Piccolo, C; Raspollini, P; Ridolfi, M; Robert, C; Steinbrecht, W; Strawbridge, KB; Strong, K; Stüebi, R; Thurairajah, B</t>
  </si>
  <si>
    <t>Sica, R. J.; Izawa, M. R. M.; Walker, K. A.; Boone, C.; Petelina, S. V.; Argall, P. S.; Bernath, P.; Burns, G. B.; Catoire, V.; Collins, R. L.; Daffer, W. H.; De Clercq, C.; Fan, Z. Y.; Firanski, B. J.; French, W. J. R.; Gerard, P.; Gerding, M.; Granville, J.; Innis, J. L.; Keckhut, P.; Kerzenmacher, T.; Klekociuk, A. R.; Kyro, E.; Lambert, J. C.; Llewellyn, E. J.; Manney, G. L.; McDermid, I. S.; Mizutani, K.; Murayama, Y.; Piccolo, C.; Raspollini, P.; Ridolfi, M.; Robert, C.; Steinbrecht, W.; Strawbridge, K. B.; Strong, K.; Stuebi, R.; Thurairajah, B.</t>
  </si>
  <si>
    <t>Validation of the Atmospheric Chemistry Experiment (ACE) version 2.2 temperature using ground-based and space-borne measurements</t>
  </si>
  <si>
    <t>ATMOSPHERIC CHEMISTRY AND PHYSICS</t>
  </si>
  <si>
    <t>CANADIAN METEOROLOGICAL CENTER; RESOLUTION DOPPLER IMAGER; DATA ASSIMILATION SYSTEM; LIDAR MEASUREMENTS; MESOSPHERIC TEMPERATURE; MIDDLE ATMOSPHERE; STRATOSPHERIC TEMPERATURES; RESEARCH SATELLITE; LIMB-EMISSION; MIXING-RATIO</t>
  </si>
  <si>
    <t>An ensemble of space-borne and ground-based instruments has been used to evaluate the quality of the version 2.2 temperature retrievals from the Atmospheric Chemistry Experiment Fourier Transform Spectrometer (ACE-FTS). The agreement of ACE-FTS temperatures with other sensors is typically better than 2 K in the stratosphere and upper troposphere and 5 K in the lower mesosphere. There is evidence of a systematic high bias (roughly 3-6 K) in the ACE-FTS temperatures in the mesosphere, and a possible systematic low bias (roughly 2 K) in ACE-FTS temperatures near 23 km. Some ACE-FTS temperature profiles exhibit unphysical oscillations, a problem fixed in preliminary comparisons with temperatures derived using the next version of the ACE-FTS retrieval software. Though these relatively large oscillations in temperature can be on the order of 10 K in the mesosphere, retrieved volume mixing ratio profiles typically vary by less than a percent or so. Statistical comparisons suggest these oscillations occur in about 10% of the retrieved profiles. Analysis from a set of coincident lidar measurements suggests that the random error in ACE-FTS version 2.2 temperatures has a lower limit of about +/- 2 K.</t>
  </si>
  <si>
    <t>[Sica, R. J.; Argall, P. S.] Univ Western Ontario, Dept Phys &amp; Astron, London, ON, Canada; [Izawa, M. R. M.] Univ Western Ontario, Dept Earth Sci, London, ON, Canada; [Walker, K. A.; Boone, C.; Bernath, P.; Fan, Z. Y.] Univ Waterloo, Dept Chem, Waterloo, ON N2L 3G1, Canada; [Walker, K. A.; Strong, K.] Univ Toronto, Dept Phys, Toronto, ON, Canada; [Petelina, S. V.; Llewellyn, E. J.] Univ Saskatchewan, Inst Space &amp; Atmospher Studies, Saskatoon, SK S7N 0W0, Canada; [Petelina, S. V.] La Trobe Univ, Dept Phys, Bundoora, Vic, Australia; [Bernath, P.] Univ York, Dept Chem, York YO10 5DD, N Yorkshire, England; [Burns, G. B.; French, W. J. R.; Innis, J. L.; Klekociuk, A. R.] Australian Antarctic Div, Ice Ocean Atmosphere &amp; Climate Program, Kingston, Tas, Australia; [Catoire, V.; Steinbrecht, W.] Univ Orleans, CNRS, Lab Phys Chim &amp; Environm, F-45067 Orleans, France; [Collins, R. L.; Thurairajah, B.] Univ Alaska, Inst Geophys, Fairbanks, AK USA; [Collins, R. L.; Thurairajah, B.] Univ Alaska, Atmospher Sci Program, Fairbanks, AK USA; [Daffer, W. H.] Columbus Technol Inc, Pasadena, CA USA; [De Clercq, C.; Gerard, P.; Granville, J.; Lambert, J. C.] IASB BIRA, Brussels, Belgium; [Firanski, B. J.; Strawbridge, K. B.] CARE, Environm Canada, Sci &amp; Technol Branch, Egbert, ON, Canada; [Gerding, M.] Leibniz Inst Atmospher Phys, Kuhlungsborn, Germany; [Keckhut, P.] UVSQ, Inst Pierre Simon Laplace, Serv Aeron, Verrieres Le Buisson, France; [Kyro, E.] Arctic Environm Res Ctr, Finnish Meteorol Inst, Sodankyla, Finland; [Manney, G. L.] CALTECH, Jet Prop Lab, Pasadena, CA USA; [Manney, G. L.] New Mexico Inst Min &amp; Technol, Socorro, NM 87801 USA; [McDermid, I. S.] CALTECH, Jet Prop Lab, Table Mt Facil, Wrightwood, CA USA; [Mizutani, K.; Murayama, Y.] Natl Inst Informat &amp; Commun Technol, Tokyo, Japan; [Piccolo, C.] Univ Oxford, Clarendon Lab, Dept Atmospher Ocean &amp; Planetary Phys, Oxford OX1 3PU, England; [Raspollini, P.] CNR, Ist Fis Applicata Nello Carrara, Florence, Italy; [Ridolfi, M.] Univ Bologna, Dipartimento Chim Fis &amp; Inorgan, I-40136 Bologna, Italy; [Stuebi, R.] Fed Off Meteorol &amp; Climatol, MeteoSwiss Aerol Stn, Payerne, Switzerland</t>
  </si>
  <si>
    <t>Western University (University of Western Ontario); Western University (University of Western Ontario); University of Waterloo; University of Toronto; University of Saskatchewan; La Trobe University; University of York - UK; Australian Antarctic Division; Universite de Orleans; Centre National de la Recherche Scientifique (CNRS); University of Alaska System; University of Alaska Fairbanks; University of Alaska System; University of Alaska Fairbanks; Environment &amp; Climate Change Canada; Leibniz Institut fur Atmospharenphysik e.V. an der Universitat Rostock (IAP); Universite Paris Saclay; Universite Paris Cite; Finnish Meteorological Institute; California Institute of Technology; National Aeronautics &amp; Space Administration (NASA); NASA Jet Propulsion Laboratory (JPL); New Mexico Institute of Mining Technology; California Institute of Technology; National Aeronautics &amp; Space Administration (NASA); NASA Jet Propulsion Laboratory (JPL); National Institute of Information &amp; Communications Technology (NICT) - Japan; University of Oxford; Consiglio Nazionale delle Ricerche (CNR); Istituto di Fisica Applicata Nello Carrara (IFAC-CNR); University of Bologna; Federal Office of Meteorology &amp; Climatology (MeteoSwiss)</t>
  </si>
  <si>
    <t>Sica, RJ (corresponding author), Univ Western Ontario, Dept Phys &amp; Astron, London, ON, Canada.</t>
  </si>
  <si>
    <t>sica@uwo.ca</t>
  </si>
  <si>
    <t>Bernath, Peter F/B-6567-2012; Daffer, William/AGV-1399-2022; Lambert, Jean-Christopher/IUN-1096-2023; Keckhut, Philippe/AFO-0077-2022; Steinbrecht, Wolfgang/G-6113-2010; Murayama, Yasuhiro/ABF-1698-2020; Kerzenmacher, Tobias/AGN-7243-2022; Manney, Gloria/JED-7207-2023; Strong, Kimberly/D-2563-2012; CATOIRE, Valery/E-9662-2015; Klekociuk, Andrew/A-4498-2015</t>
  </si>
  <si>
    <t>Bernath, Peter F/0000-0002-1255-396X; Lambert, Jean-Christopher/0000-0001-7243-6848; Murayama, Yasuhiro/0000-0003-1129-334X; Kerzenmacher, Tobias/0000-0001-8413-0539; Steinbrecht, Wolfgang/0000-0003-0680-6729; RIDOLFI, MARCO/0000-0002-3492-6472; Collins, Richard/0000-0001-7055-1228; Strong, Kimberly/0000-0001-9947-1053; Thurairajah, Brentha/0000-0002-4072-7082; CATOIRE, Valery/0000-0001-8126-3096; Sica, Robert/0000-0003-2964-1664; French, John/0000-0001-9305-6190; Klekociuk, Andrew/0000-0003-3335-0034</t>
  </si>
  <si>
    <t>1680-7316</t>
  </si>
  <si>
    <t>1680-7324</t>
  </si>
  <si>
    <t>ATMOS CHEM PHYS</t>
  </si>
  <si>
    <t>Atmos. Chem. Phys.</t>
  </si>
  <si>
    <t>10.5194/acp-8-35-2008</t>
  </si>
  <si>
    <t>Environmental Sciences; Meteorology &amp; Atmospheric Sciences</t>
  </si>
  <si>
    <t>Environmental Sciences &amp; Ecology; Meteorology &amp; Atmospheric Sciences</t>
  </si>
  <si>
    <t>273CM</t>
  </si>
  <si>
    <t>WOS:000253908000004</t>
  </si>
  <si>
    <t>Hennemuth, B; Weiss, A; Bösenberg, J; Jacob, D; Linné, H; Peters, G; Pfeifer, S</t>
  </si>
  <si>
    <t>Hennemuth, B.; Weiss, A.; Boesenberg, J.; Jacob, D.; Linne, H.; Peters, G.; Pfeifer, S.</t>
  </si>
  <si>
    <t>Quality assessment of water cycle parameters in REMO by radar-lidar synergy</t>
  </si>
  <si>
    <t>DIFFERENTIAL ABSORPTION LIDAR; BALTEX BRIDGE CAMPAIGN; BOUNDARY-LAYER HEIGHT; CLOUD LIQUID WATER; MIXED-LAYER; MODEL; RETRIEVAL; SURFACE; FLUXES; VAPOR</t>
  </si>
  <si>
    <t>A comparison study of water cycle parameters derived from ground-based remote-sensing instruments and from the regional model REMO is presented. Observational data sets were collected during three measuring campaigns in summer/autumn 2003 and 2004 at Richard A beta mann Observatory, Lindenberg, Germany. The remote sensing instruments which were used are differential absorption lidar, Doppler lidar, ceilometer, cloud radar, and micro rain radar for the derivation of humidity profiles, ABL height, water vapour flux profiles, cloud parameters, and rain rate. Additionally, surface latent and sensible heat flux and soil moisture were measured. Error ranges and representativity of the data are discussed. For comparisons the regional model REMO was run for all measuring periods with a horizontal resolution of 18 km and 33 vertical levels. Parameter output was every hour. The measured data were transformed to the vertical model grid and averaged in time in order to better match with gridbox model values. The comparisons show that the atmospheric boundary layer is not adequately simulated, on most days it is too shallow and too moist. This is found to be caused by a wrong partitioning of energy at the surface, particularly a too large latent heat flux. The reason is obviously an overestimation of soil moisture during drying periods by the one-layer scheme in the model. The profiles of water vapour transport within the ABL appear to be realistically simulated. The comparison of cloud cover reveals an underestimation of low-level and mid-level clouds by the model, whereas the comparison of high-level clouds is hampered by the inability of the cloud radar to see cirrus clouds above 10 km. Simulated ABL clouds apparently have a too low cloud base, and the vertical extent is underestimated. The ice water content of clouds agree in model and observation whereas the liquid water content is unsufficiently derived from cloud radar reflectivity in the present study. Rain rates are similar, but the representativeness of both observations and grid box values is low.</t>
  </si>
  <si>
    <t>[Hennemuth, B.; Boesenberg, J.; Jacob, D.; Linne, H.; Pfeifer, S.] Max Planck Inst Meteorol, Hamburg, Germany; [Weiss, A.] British Antarctic Survey, Cambridge CB3 0ET, England; [Peters, G.] Univ Hamburg, Inst Meteorol, D-2000 Hamburg, Germany</t>
  </si>
  <si>
    <t>Max Planck Society; UK Research &amp; Innovation (UKRI); Natural Environment Research Council (NERC); NERC British Antarctic Survey; University of Hamburg</t>
  </si>
  <si>
    <t>Hennemuth, B (corresponding author), Consulting Meteorol, Hamburg, Germany.</t>
  </si>
  <si>
    <t>hennemuth@dkrz.de</t>
  </si>
  <si>
    <t>Linné, Holger/J-8510-2014; Pfeifer, Susanne/O-1593-2017</t>
  </si>
  <si>
    <t>Pfeifer, Susanne/0000-0001-8518-1944</t>
  </si>
  <si>
    <t>10.5194/acp-8-287-2008</t>
  </si>
  <si>
    <t>273CN</t>
  </si>
  <si>
    <t>WOS:000253908100009</t>
  </si>
  <si>
    <t>Schönhardt, A; Richter, A; Wittrock, F; Kirk, H; Oetjen, H; Roscoe, HK; Burrows, JP</t>
  </si>
  <si>
    <t>Schoenhardt, A.; Richter, A.; Wittrock, F.; Kirk, H.; Oetjen, H.; Roscoe, H. K.; Burrows, J. P.</t>
  </si>
  <si>
    <t>Observations of iodine monoxide columns from satellite</t>
  </si>
  <si>
    <t>MARINE BOUNDARY-LAYER; RADIATIVE-TRANSFER; OZONE; IO; COASTAL; SCIAMACHY; OXIDE; BRO; HALOGENS; KINETICS</t>
  </si>
  <si>
    <t>Iodine species in the troposphere are linked to ozone depletion and new particle formation. In this study, a full year of iodine monoxide (IO) columns retrieved from measurements of the SCIAMACHY satellite instrument is presented, coupled with a discussion of their uncertainties and the detection limits. The largest amounts of IO are found near springtime in the Antarctic. A seasonal variation of iodine monoxide in Antarctica is revealed with high values in springtime, slightly less IO in the summer period and again larger amounts in autumn. In winter, no elevated IO levels are found in the areas accessible to satellite measurements. This seasonal cycle is in good agreement with recent ground-based measurements in Antarctica. In the Arctic region, no elevated IO levels were found in the period analysed. This implies that different conditions with respect to iodine release exist in the two Polar Regions. To investigate possible release mechanisms, comparisons of IO columns with those of tropospheric BrO, and ice coverage are described and discussed. Some parallels and interesting differences between IO and BrO temporal and spatial distributions are identified. Overall, the large spatial coverage of satellite retrieved IO data and the availability of a long-term dataset provide new insight about the abundances and distributions of iodine compounds in the troposphere.</t>
  </si>
  <si>
    <t>[Schoenhardt, A.; Richter, A.; Wittrock, F.; Kirk, H.; Oetjen, H.; Burrows, J. P.] Univ Bremen, Inst Environm Phys, D-28359 Bremen, Germany; [Roscoe, H. K.] British Antarctic Survey, NERC, Cambridge CB3 0ET, England</t>
  </si>
  <si>
    <t>University of Bremen; UK Research &amp; Innovation (UKRI); Natural Environment Research Council (NERC); NERC British Antarctic Survey</t>
  </si>
  <si>
    <t>Schönhardt, A (corresponding author), Univ Bremen, Inst Environm Phys, Otto Hahn Allee 1, D-28359 Bremen, Germany.</t>
  </si>
  <si>
    <t>schoenhardt@iup.physik.uni-bremen.de</t>
  </si>
  <si>
    <t>Oetjen, Hilke/AAU-5212-2021; Oetjen, Hilke/H-3708-2016; Burrows, John Philip/AAF-8468-2019; Richter, Andreas/C-4971-2008; Wittrock, Folkard/B-6959-2008</t>
  </si>
  <si>
    <t>Oetjen, Hilke/0000-0002-3542-1337; Oetjen, Hilke/0000-0002-3542-1337; Burrows, John Philip/0000-0002-6821-5580; Richter, Andreas/0000-0003-3339-212X; Wittrock, Folkard/0000-0002-3024-0211</t>
  </si>
  <si>
    <t>NERC [bas010016] Funding Source: UKRI; Natural Environment Research Council [bas010016] Funding Source: researchfish</t>
  </si>
  <si>
    <t>10.5194/acp-8-637-2008</t>
  </si>
  <si>
    <t>273CP</t>
  </si>
  <si>
    <t>WOS:000253908300015</t>
  </si>
  <si>
    <t>Saiz-Lopez, A; Plane, JMC; Mahajan, AS; Anderson, PS; Bauguitte, SJB; Jones, AE; Roscoe, HK; Salmon, RA; Bloss, WJ; Lee, JD; Heard, DE</t>
  </si>
  <si>
    <t>Saiz-Lopez, A.; Plane, J. M. C.; Mahajan, A. S.; Anderson, P. S.; Bauguitte, S. J. -B.; Jones, A. E.; Roscoe, H. K.; Salmon, R. A.; Bloss, W. J.; Lee, J. D.; Heard, D. E.</t>
  </si>
  <si>
    <t>On the vertical distribution of boundary layer halogens over coastal Antarctica:: implications for O3, HOx, NOx and the Hg lifetime</t>
  </si>
  <si>
    <t>OZONE DEPLETION EVENTS; OPTICAL-ABSORPTION SPECTROSCOPY; IODINE-CONTAINING COMPOUNDS; HOMOGENEOUS NUCLEATION; ATMOSPHERIC CHEMISTRY; POTENTIAL INFLUENCE; BRO CONCENTRATIONS; PARTICLE FORMATION; TROPOSPHERIC BRO; POLAR SUNRISE</t>
  </si>
  <si>
    <t>A one-dimensional chemical transport model has been developed to investigate the vertical gradients of bromine and iodine compounds in the Antarctic coastal boundary layer (BL). The model has been applied to interpret recent year-round observations of iodine and bromine monoxides (IO and BrO) at Halley Station, Antarctica. The model requires an equivalent I atom flux of similar to 10(10) molecule cm(-2) s(-1) from the snowpack in order to account for the measured IO levels, which are up to 20 ppt during spring. Using the current knowledge of gas-phase iodine chemistry, the model predicts significant gradients in the vertical distribution of iodine species. However, recent ground-based and satellite observations of IO imply that the radical is well-mixed in the Antarctic boundary layer, indicating a longer than expected atmospheric lifetime for the radical. This can be modelled by including photolysis of the higher iodine oxides (I2O2, I2O3, I2O4 and I2O5), and rapid recycling of HOI and INO3 through sea-salt aerosol. The model also predicts significant concentrations (up to 25 ppt) of I2O5 in the lowest 10 m of the boundary layer. Heterogeneous chemistry involving sea-salt aerosol is also necessary to account for the vertical profile of BrO. Iodine chemistry causes a large increase (typically more than 3-fold) in the rate of O-3 depletion in the BL, compared with bromine chemistry alone. Rapid entrainment of O-3 from the free troposphere appears to be required to account for the observation that on occasion there is little O-3 depletion at the surface in the presence of high concentrations of IO and BrO. The halogens also cause significant changes to the vertical profiles of OH and HO2 and the NO2/NO ratio. The average Hg-0 lifetime against oxidation is also predicted to be about 10 h during springtime. An important result from the model is that very large fluxes of iodine precursors into the boundary layer are required to account for the observed levels of IO. The mechanisms which cause these emissions are unknown. Overall, our results show that halogens profoundly influence the oxidizing capacity of the Antarctic troposphere.</t>
  </si>
  <si>
    <t>[Saiz-Lopez, A.; Plane, J. M. C.; Mahajan, A. S.; Bloss, W. J.; Lee, J. D.; Heard, D. E.] Univ Leeds, Sch Chem, Leeds LS2 9JT, W Yorkshire, England; [Saiz-Lopez, A.] CALTECH, Jet Prop Lab, NASA, Pasadena, CA USA; [Anderson, P. S.; Bauguitte, S. J. -B.; Jones, A. E.; Roscoe, H. K.; Salmon, R. A.] British Antarctic Survey, NERC, Cambridge CB3 0ET, England</t>
  </si>
  <si>
    <t>University of Leeds; National Aeronautics &amp; Space Administration (NASA); NASA Jet Propulsion Laboratory (JPL); California Institute of Technology; UK Research &amp; Innovation (UKRI); Natural Environment Research Council (NERC); NERC British Antarctic Survey</t>
  </si>
  <si>
    <t>Plane, JMC (corresponding author), Univ Leeds, Sch Chem, Leeds LS2 9JT, W Yorkshire, England.</t>
  </si>
  <si>
    <t>j.m.c.plane@leeds.ac.uk</t>
  </si>
  <si>
    <t>Bloss, William/N-1305-2014; Saiz-Lopez, Alfonso/B-3759-2015; lee, sooyoon/JEP-0415-2023; Mahajan, Anoop/D-2714-2012; Heard, Dwayne/M-3624-2017; Plane, John/C-7444-2015</t>
  </si>
  <si>
    <t>Bloss, William/0000-0002-3017-4461; Saiz-Lopez, Alfonso/0000-0002-0060-1581; Lee, James D/0000-0001-5397-2872; Mahajan, Anoop/0000-0002-2909-5432; Heard, Dwayne/0000-0002-0357-6238; Plane, John/0000-0003-3648-6893</t>
  </si>
  <si>
    <t>NERC [ncas10008, bas010016] Funding Source: UKRI; Natural Environment Research Council [bas010016, NER/G/S/2001/00010, ncas10008] Funding Source: researchfish</t>
  </si>
  <si>
    <t>10.5194/acp-8-887-2008</t>
  </si>
  <si>
    <t>273CR</t>
  </si>
  <si>
    <t>Green Accepted, Green Submitted, gold</t>
  </si>
  <si>
    <t>WOS:000253908500007</t>
  </si>
  <si>
    <t>Hibbins, RE; Jarvis, MJ</t>
  </si>
  <si>
    <t>Hibbins, R. E.; Jarvis, M. J.</t>
  </si>
  <si>
    <t>A long-term comparison of wind and tide measurements in the upper mesosphere recorded with an imaging Doppler interferometer and SuperDARN radar at Halley, Antarctica</t>
  </si>
  <si>
    <t>METEOR ECHOES; HF RADAR; MEAN WINDS; THERMOSPHERE; DYNASONDE; DYNAMICS; MODEL; ARRAY</t>
  </si>
  <si>
    <t>Data from a near co-located imaging Doppler interferometer (IDI) and SuperDARN radar recorded since 1996 have been analysed in a consistent manner to compare the derived mean winds and tides in the upper mesosphere. By comparing only days when both techniques were recording good quality meridional wind data it is shown that the SuperDARN radar winds and tides correlate best with the IDI height bin 90-95 km. On timescales of one hour the winds derived from the IDI have a much greater associated variance and correlate poorly with the SuperDARN winds. Regression analysis reveals that the observed SuperDARN daily mean meridional wind strength is approximately 65% that recorded by the IDI, in good quantitative agreement with previous studies which have shown contamination to SuperDARN derived winds due to the significant back lobe of the radar radiation pattern. Climatologically the two techniques observe similar monthly mean winds with the SuperDARN meridional winds suppressed compared to the IDI which tends to record winds more poleward than those derived by the SuperDARN radar during the summer months, and to be slightly more equatorward during the winter. The 12-h tidal amplitude and phase derived from both techniques are in good agreement, whereas the 24-h tides are seen much more strongly in the SuperDARN radar, especially in wintertime, with poor phase agreement. Long term comparison of the two techniques reveals a tendency for the IDI meridional winds to be more poleward during solar maximum especially during summer time; an effect which is not reproduced in the meridional winds derived from the SuperDARN radar. These results are discussed in the context of previous studies to independently determine the veracity of each technique, and to highlight the circumstances where data derived from these two techniques can be used to draw reliable conclusions from comparative studies based on geographically distributed pairs of instruments.</t>
  </si>
  <si>
    <t>[Hibbins, R. E.; Jarvis, M. J.] British Antarctic Survey, Div Phys Sci, Cambridge CB3 0ET, England</t>
  </si>
  <si>
    <t>Hibbins, RE (corresponding author), British Antarctic Survey, Div Phys Sci, Madingley Rd, Cambridge CB3 0ET, England.</t>
  </si>
  <si>
    <t>rehi@bas.ac.uk</t>
  </si>
  <si>
    <t>Hibbins, Robert/0000-0002-6867-2255</t>
  </si>
  <si>
    <t>10.5194/acp-8-1367-2008</t>
  </si>
  <si>
    <t>273CS</t>
  </si>
  <si>
    <t>gold, Green Submitted, Green Accepted</t>
  </si>
  <si>
    <t>WOS:000253908600018</t>
  </si>
  <si>
    <t>Steffen, A; Douglas, T; Amyot, M; Ariya, P; Aspmo, K; Berg, T; Bottenheim, J; Brooks, S; Cobbett, F; Dastoor, A; Dommergue, A; Ebinghaus, R; Ferrari, C; Gardfeldt, K; Goodsite, ME; Lean, D; Poulain, AJ; Scherz, C; Skov, H; Sommar, J; Temme, C</t>
  </si>
  <si>
    <t>Steffen, A.; Douglas, T.; Amyot, M.; Ariya, P.; Aspmo, K.; Berg, T.; Bottenheim, J.; Brooks, S.; Cobbett, F.; Dastoor, A.; Dommergue, A.; Ebinghaus, R.; Ferrari, C.; Gardfeldt, K.; Goodsite, M. E.; Lean, D.; Poulain, A. J.; Scherz, C.; Skov, H.; Sommar, J.; Temme, C.</t>
  </si>
  <si>
    <t>A synthesis of atmospheric mercury depletion event chemistry in the atmosphere and snow</t>
  </si>
  <si>
    <t>DISSOLVED GASEOUS MERCURY; DEPENDENT RATE COEFFICIENTS; IODINE-CONTAINING COMPOUNDS; 2-STAGE GOLD AMALGAMATION; PHASE ELEMENTAL MERCURY; ARCTIC AIR-POLLUTION; TIME-SERIES ANALYSIS; NY-ALESUND; SPRINGTIME DEPLETION; PARTICULATE MERCURY</t>
  </si>
  <si>
    <t>It was discovered in 1995 that, during the spring time, unexpectedly low concentrations of gaseous elemental mercury (GEM) occurred in the Arctic air. This was surprising for a pollutant known to have a long residence time in the atmosphere; however conditions appeared to exist in the Arctic that promoted this depletion of mercury (Hg). This phenomenon is termed atmospheric mercury depletion events (AMDEs) and its discovery has revolutionized our understanding of the cycling of Hg in Polar Regions while stimulating a significant amount of research to understand its impact to this fragile ecosystem. Shortly after the discovery was made in Canada, AMDEs were confirmed to occur throughout the Arctic, sub-Artic and Antarctic coasts. It is now known that, through a series of photochemically initiated reactions involving halogens, GEM is converted to a more reactive species and is subsequently associated to particles in the air and/or deposited to the polar environment. AMDEs are a means by which Hg is transferred from the atmosphere to the environment that was previously unknown. In this article we review Hg research taken place in Polar Regions pertaining to AMDEs, the methods used to collect Hg in different environmental media, research results of the current understanding of AMDEs from field, laboratory and modeling work, how Hg cycles around the environment after AMDEs, gaps in our current knowledge and the future impacts that AMDEs may have on polar environments. The research presented has shown that while considerable improvements in methodology to measure Hg have been made but the main limitation remains knowing the speciation of Hg in the various media. The processes that drive AMDEs and how they occur are discussed. As well, the role that the snow pack and the sea ice play in the cycling of Hg is presented. It has been found that deposition of Hg from AMDEs occurs at marine coasts and not far inland and that a fraction of the deposited Hg does not remain in the same form in the snow. Kinetic studies undertaken have demonstrated that bromine is the major oxidant depleting Hg in the atmosphere. Modeling results demonstrate that there is a significant deposition of Hg to Polar Regions as a result of AMDEs. Models have also shown that Hg is readily transported to the Arctic from source regions, at times during springtime when this environment is actively transforming Hg from the atmosphere to the snow and ice surfaces. The presence of significant amounts of methyl Hg in snow in the Arctic surrounding AMDEs is important because this species is the link between the environment and impacts to wildlife and humans. Further, much work on methylation and demethylation processes has occurred but these processes are not yet fully understood. Recent changes in the climate and sea ice cover in Polar Regions are likely to have strong effects on the cycling of Hg in this environment; however more research is needed to understand Hg processes in order to formulate meaningful predictions of these changes.</t>
  </si>
  <si>
    <t>[Steffen, A.; Bottenheim, J.; Dastoor, A.] Environm Canada, Air Qual Res Div, Toronto, ON M3H 5T4, Canada; [Steffen, A.; Ebinghaus, R.] Univ Luneburg, D-21335 Luneburg, Germany; [Douglas, T.] USA, Cold Reg Res &amp; Engn Lab, Ft Wainwright, AL USA; [Amyot, M.; Poulain, A. J.] Univ Montreal, Dept Sci Biol, Montreal, PQ H3C 3J7, Canada; [Ariya, P.] McGill Univ, Dept Chem, Montreal, PQ H3A 2K6, Canada; [Ariya, P.] McGill Univ, Dept Atmospher &amp; Ocean Sci, Montreal, PQ H3A 2K6, Canada; [Aspmo, K.; Berg, T.] Norwegian Inst Air Res, N-2027 Kjeller, Norway; [Berg, T.] Norwegian Univ Sci &amp; Technol, Dept Chem, N-7491 Trondheim, Norway; [Brooks, S.] NOAA, Atmospher Turbulence &amp; Diffus Div, Oak Ridge, TN USA; [Cobbett, F.] Univ Guelph, Sch Engn, Guelph, ON N1G 2W1, Canada; [Dommergue, A.; Ferrari, C.] Univ Grenoble 1, F-38041 Grenoble, France; [Ebinghaus, R.; Temme, C.] GKSS Forschungszentrum Geesthacht GmbH, Inst Coastal Res, Dept Environm Chem, D-21052 Geesthacht, Germany; [Gardfeldt, K.; Sommar, J.] Gothenburg Univ, S-41296 Gothenburg, Sweden; [Gardfeldt, K.; Sommar, J.] Chalmers Univ Technol, S-41296 Gothenburg, Sweden; [Goodsite, M. E.] Univ So Denmark, Dept Chem &amp; Phys, DK-5230 Odense M, Denmark; [Lean, D.] Univ Ottawa, Dept Biol, Ctr Adv Res Environm Genom, Ottawa, ON K1N 6N5, Canada; [Skov, H.] Natl Environm Res Inst, DK-4000 Roskilde, Denmark</t>
  </si>
  <si>
    <t>Environment &amp; Climate Change Canada; Leuphana University Luneburg; United States Department of Defense; United States Army; U.S. Army Corps of Engineers; U.S. Army Engineer Research &amp; Development Center (ERDC); Cold Regions Research &amp; Engineering Laboratory (CRREL); Universite de Montreal; McGill University; McGill University; NILU; Norwegian University of Science &amp; Technology (NTNU); National Oceanic Atmospheric Admin (NOAA) - USA; University of Guelph; Communaute Universite Grenoble Alpes; Universite Grenoble Alpes (UGA); Helmholtz Association; Helmholtz-Zentrum Hereon; University of Gothenburg; Chalmers University of Technology; University of Southern Denmark; University of Ottawa; Aarhus University</t>
  </si>
  <si>
    <t>Steffen, A (corresponding author), Environm Canada, Air Qual Res Div, 4905 Dufferin St, Toronto, ON M3H 5T4, Canada.</t>
  </si>
  <si>
    <t>alexandra.steffen@ec.gc.ca</t>
  </si>
  <si>
    <t>Berg, Torunn/S-5887-2017; Poulain, Alexandre J/C-2136-2008; Dommergue, Aurelien/A-2829-2009; dommergue, aurelien/HLP-6539-2023; Poulain, Alexandre/C-1246-2009; Amyot, Marc/A-7182-2008; Sommar, Jonas/J-7997-2014; Ariya, Parisa A/G-2810-2015; Berg, Torunn/I-3521-2013; Goodsite, Michael/X-9374-2019; Gårdfeldt, Katarina/AAF-9952-2019; Pfaffhuber, Katrine Aspmo/G-9334-2017</t>
  </si>
  <si>
    <t>Dommergue, Aurelien/0000-0002-8185-9604; dommergue, aurelien/0000-0002-8185-9604; Amyot, Marc/0000-0002-0340-3249; Sommar, Jonas/0000-0001-8634-440X; Berg, Torunn/0000-0002-2264-6676; Goodsite, Michael/0000-0002-4565-6607; Dastoor, Ashu/0000-0002-3312-7484; Skov, Henrik/0000-0003-1167-8696; Poulain, Alexandre/0000-0002-0488-3993; Gardfeldt, Katarina/0000-0002-5161-9597</t>
  </si>
  <si>
    <t>10.5194/acp-8-1445-2008</t>
  </si>
  <si>
    <t>280HN</t>
  </si>
  <si>
    <t>Green Submitted, gold, Green Accepted</t>
  </si>
  <si>
    <t>WOS:000254416700001</t>
  </si>
  <si>
    <t>Fischer, H; Birk, M; Blom, C; Carli, B; Carlotti, M; von Clarmann, T; Delbouille, L; Dudhia, A; Ehhalt, D; Endemann, M; Flaud, JM; Gessner, R; Kleinert, A; Koopman, R; Langen, J; López-Puertas, M; Mosner, P; Nett, H; Oelhaf, H; Perron, G; Remedios, J; Ridolfi, M; Stiller, G; Zander, R</t>
  </si>
  <si>
    <t>Fischer, H.; Birk, M.; Blom, C.; Carli, B.; Carlotti, M.; von Clarmann, T.; Delbouille, L.; Dudhia, A.; Ehhalt, D.; Endemann, M.; Flaud, J. M.; Gessner, R.; Kleinert, A.; Koopman, R.; Langen, J.; Lopez-Puertas, M.; Mosner, P.; Nett, H.; Oelhaf, H.; Perron, G.; Remedios, J.; Ridolfi, M.; Stiller, G.; Zander, R.</t>
  </si>
  <si>
    <t>MIPAS:: an instrument for atmospheric and climate research</t>
  </si>
  <si>
    <t>POLAR STRATOSPHERIC CLOUDS; LIMB-SOUNDING MEASUREMENTS; RADIATIVE-TRANSFER; MICHELSON INTERFEROMETER; GEOPHYSICAL VALIDATION; CARBON-MONOXIDE; FIT APPROACH; RETRIEVAL; ENVISAT; OZONE</t>
  </si>
  <si>
    <t>MIPAS, the Michelson Interferometer for Passive Atmospheric Sounding, is a mid-infrared emission spectrometer which is part of the core payload of ENVISAT. It is a limb sounder, i.e. it scans across the horizon detecting atmospheric spectral radiances which are inverted to vertical temperature, trace species and cloud distributions. These data can be used for scientific investigations in various research fields including dynamics and chemistry in the altitude region between upper troposphere and lower thermosphere. The instrument is a well calibrated and characterized Fourier transform spectrometer which is able to detect many trace constituents simultaneously. The different concepts of retrieval methods are described including multi-target and two-dimensional retrievals. Operationally generated data sets consist of temperature, H2O, O-3, CH4, N2O, HNO3, and NO2 profiles. Measurement errors are investigated in detail and random and systematic errors are specified. The results are validated by independent instrumentation which has been operated at ground stations or aboard balloon gondolas and aircraft. Intercomparisons of MIPAS measurements with other satellite data have been carried out, too. As a result, it has been proven that the MIPAS data are of good quality. MIPAS can be operated in different measurement modes in order to optimize the scientific output. Due to the wealth of information in the MIPAS spectra, many scientific results have already been published. They include intercomparisons of temperature distributions with ECMWF data, the derivation of the whole NOy family, the study of atmospheric processes during the Antarctic vortex split in September 2002, the determination of properties of Polar Stratospheric Clouds, the downward transport of NOx in the middle atmosphere, the stratosphere-troposphere exchange, the influence of solar variability on the middle atmosphere, and the observation of Non-LTE effects in the mesosphere.</t>
  </si>
  <si>
    <t>[Fischer, H.; Blom, C.; von Clarmann, T.; Kleinert, A.; Oelhaf, H.; Stiller, G.] Forschungszentrum Karlsruhe, D-76021 Karlsruhe, Germany; [Fischer, H.; Blom, C.; von Clarmann, T.; Kleinert, A.; Oelhaf, H.; Stiller, G.] Univ Karlsruhe, Inst Meteorol &amp; Climate Res, Karlsruhe, Germany; [Carli, B.] CNR, IFAC, Florence, Italy; [Carlotti, M.; Ridolfi, M.] Univ Bologna, Dipartimento Chim Fis &amp; Inorgan, I-40136 Bologna, Italy; [Delbouille, L.] Univ Liege, Dept AGO, GIRPAS, B-4000 Liege, Belgium; [Dudhia, A.] Univ Oxford, Clarendon Lab, Oxford OX1 2JD, England; [Ehhalt, D.] Forschungszentrum Julich, Inst Atmosphar Chem, ICG3, Julich, Germany; [Endemann, M.; Koopman, R.; Langen, J.; Nett, H.] ESA, ESRIN, Frascati, Italy; [Endemann, M.; Koopman, R.; Langen, J.; Nett, H.] ESA, ESTEC, Noordwijk, Netherlands; [Flaud, J. M.] Univ Paris 07, CNRS, LISA, F-75221 Paris 05, France; [Flaud, J. M.] Univ Paris 12, Paris, France; [Gessner, R.; Mosner, P.] EADS Astrium GmbH, Friedrichshafen &amp; Munchen, Munich, Germany; [Lopez-Puertas, M.] Inst Astrofis Andalucia, E-18080 Granada, Spain; [Perron, G.] ABB Bomem Inc, Quebec City, PQ, Canada; [Remedios, J.] Univ Leicester, Dept Phys &amp; Astron, Space Res Ctr, EOS, Leicester LE1 7RH, Leics, England</t>
  </si>
  <si>
    <t>Helmholtz Association; Karlsruhe Institute of Technology; Helmholtz Association; Karlsruhe Institute of Technology; Consiglio Nazionale delle Ricerche (CNR); Istituto di Fisica Applicata Nello Carrara (IFAC-CNR); University of Bologna; University of Liege; University of Oxford; Helmholtz Association; Research Center Julich; European Space Agency; European Space Agency; Centre National de la Recherche Scientifique (CNRS); Universite Paris Cite; Universite Paris-Est-Creteil-Val-de-Marne (UPEC); Universite Paris-Est-Creteil-Val-de-Marne (UPEC); Airbus; EADS Astrium; Consejo Superior de Investigaciones Cientificas (CSIC); CSIC - Instituto de Astrofisica de Andalucia (IAA); University of Leicester</t>
  </si>
  <si>
    <t>Fischer, H (corresponding author), Forschungszentrum Karlsruhe, D-76021 Karlsruhe, Germany.</t>
  </si>
  <si>
    <t>herbert.fischer@imk.fzk.de</t>
  </si>
  <si>
    <t>Oelhaf, Hermann A/A-7895-2013; Kleinert, Anne/A-7048-2013; von Clarmann, Thomas/A-7287-2013; Stiller, Gabriele P./A-7340-2013; Lopez-Puertas, Manuel/M-8219-2013</t>
  </si>
  <si>
    <t>Stiller, Gabriele P./0000-0003-2883-6873; Lopez-Puertas, Manuel/0000-0003-2941-7734; von Clarmann, Thomas/0000-0003-2219-3379; RIDOLFI, MARCO/0000-0002-3492-6472</t>
  </si>
  <si>
    <t>10.5194/acp-8-2151-2008</t>
  </si>
  <si>
    <t>295YS</t>
  </si>
  <si>
    <t>Green Submitted, gold, Green Published</t>
  </si>
  <si>
    <t>WOS:000255511300002</t>
  </si>
  <si>
    <t>Read, KA; Lewis, AC; Bauguitte, S; Rankin, AM; Salmon, RA; Wolff, EW; Saiz-Lopez, A; Bloss, WJ; Heard, DE; Lee, JD; Plane, JMC</t>
  </si>
  <si>
    <t>Read, K. A.; Lewis, A. C.; Bauguitte, S.; Rankin, A. M.; Salmon, R. A.; Wolff, E. W.; Saiz-Lopez, A.; Bloss, W. J.; Heard, D. E.; Lee, J. D.; Plane, J. M. C.</t>
  </si>
  <si>
    <t>DMS and MSA measurements in the Antarctic Boundary Layer: Impact of BrO on MSA production</t>
  </si>
  <si>
    <t>DURVILLE COASTAL ANTARCTICA; METHANE SULFONIC-ACID; SEGREGATED AEROSOL COMPOSITION; SALT SULFATE AEROSOLS; GAS-PHASE REACTIONS; DIMETHYL SULFIDE; ATMOSPHERIC DIMETHYLSULFIDE; BIOGENIC SULFUR; MARINE AIR; CHEMISTRY</t>
  </si>
  <si>
    <t>In situ measurements of dimethyl sulphide (DMS) and methane sulphonic acid (MSA) were made at Halley Station, Antarctica (75 degrees 35' S, 26 degrees 19' W) during February 2004-February 2005 as part of the CHABLIS (Chemistry of the Antarctic Boundary Layer and the Interface with Snow) project. DMS was present in the atmosphere at Halley all year (average 38.1+/-43 pptV) with a maximum monthly average value of 113.6+/-52 pptV in February 2004 coinciding temporally with a minimum in sea extent. Whilst seasonal variability and interannual variability can be attributed to a number of factors, short term variability appeared strongly dependent on air mass origin and trajectory pressure height. The MSA and derived non-sea salt sulphate (nss-SO42-) measurements showed no correlation with those of DMS (regression R-2=0.039, and R-2=0.001 respectively) in-line with the complexity of DMS fluxes, alternative oxidation routes, transport of air masses and variable spatial coverage of both sea-ice and phytoplankton. MSA was generally low throughout the year, with an annual average of 42 ng m(-3) (9.8+/-13.2 pptV), however MSA: nss-SO42- ratios were high implying a dominance of the addition oxidation route for DMS. Including BrO measurements into MSA production calculations demonstrated the significance of BrO on DMS oxidation within this region of the atmosphere in austral summer. Assuming an 80% yield of DMSO from the reaction of DMS+BrO, an atmospheric concentration of BrO equal to 3 pptV increased the calculated MSA production from DMS by a factor of 9 above that obtained when considering only reaction with the hydroxyl radical. These findings have significant atmospheric implications, but may also impact on the interpretation of ice cores which previously relied on the understanding of MSA and nss-SO42- chemistry to provide information on environmental conditions such as sea ice extent and the origins of sulphur within the ice.</t>
  </si>
  <si>
    <t>[Read, K. A.; Lewis, A. C.; Lee, J. D.] Univ York, Dept Chem, York YO19 4RR, N Yorkshire, England; [Bauguitte, S.; Rankin, A. M.; Salmon, R. A.; Wolff, E. W.] British Antarctic Survey, Cambridge CB3 0ET, England; [Saiz-Lopez, A.] CALTECH, Jet Prop Lab, Div Earth &amp; Space Sci, Pasadena, CA 91109 USA; [Bloss, W. J.] Univ Birmingham, Dept Geog Earth &amp; Environm Sci, Birmingham B15 2TT, W Midlands, England; [Heard, D. E.; Plane, J. M. C.] Univ Leeds, Dept Chem, Leeds LS2 9JT, W Yorkshire, England</t>
  </si>
  <si>
    <t>University of York - UK; UK Research &amp; Innovation (UKRI); Natural Environment Research Council (NERC); NERC British Antarctic Survey; California Institute of Technology; National Aeronautics &amp; Space Administration (NASA); NASA Jet Propulsion Laboratory (JPL); University of Birmingham; University of Leeds</t>
  </si>
  <si>
    <t>Read, KA (corresponding author), Univ York, Dept Chem, York YO19 4RR, N Yorkshire, England.</t>
  </si>
  <si>
    <t>km519@york.ac.uk</t>
  </si>
  <si>
    <t>lee, sooyoon/JEP-0415-2023; Plane, John M C/C-7444-2015; Bloss, William/N-1305-2014; Saiz-Lopez, Alfonso/B-3759-2015; Wolff, Eric W/D-7925-2014; Heard, Dwayne/M-3624-2017; Lewis, Alastair/A-6721-2008</t>
  </si>
  <si>
    <t>Bloss, William/0000-0002-3017-4461; Saiz-Lopez, Alfonso/0000-0002-0060-1581; Wolff, Eric W/0000-0002-5914-8531; Heard, Dwayne/0000-0002-0357-6238; Read, Katie/0000-0002-4044-455X; Lee, James D/0000-0001-5397-2872; Lewis, Alastair/0000-0002-4075-3651</t>
  </si>
  <si>
    <t>Natural Environment Research Council [NER/G/S/2001/00010, bas010016, ncas10008] Funding Source: researchfish; NERC [ncas10008, bas010016] Funding Source: UKRI</t>
  </si>
  <si>
    <t>10.5194/acp-8-2985-2008</t>
  </si>
  <si>
    <t>314BQ</t>
  </si>
  <si>
    <t>WOS:000256784100011</t>
  </si>
  <si>
    <t>Anderson, PS; Neff, WD</t>
  </si>
  <si>
    <t>Anderson, P. S.; Neff, W. D.</t>
  </si>
  <si>
    <t>Boundary layer physics over snow and ice</t>
  </si>
  <si>
    <t>SOUTH-POLE; BLOWING-SNOW; FIRN VENTILATION; OZONE; GREENLAND; SUMMIT; SURFACE; FLUXES; SUBLIMATION; CHEMISTRY</t>
  </si>
  <si>
    <t>Observations of the unique chemical environment over snow and ice in recent decades, particularly in the polar regions. have stimulated increasing interest in the boundary layer processes that mediate exchanges between the ice/snow interface and the atmosphere. This paper provides a review of the underlying concepts and examples from recent field studies in polar boundary layer meteorology, which will generally apply to atmospheric flow over snow and ice surfaces. It forms a companion paper to the chemistry review papers in this special issue of ACP that focus on processes linking halogens to the depletion of boundary layer ozone in coastal environments, mercury transport and deposition, snow photochemistry, and related snow physics. In this context, observational approaches, stable boundary layer behavior, the effects of a weak or absent diurnal cycle, and transport and mixing over the heterogeneous surfaces characteristic of coastal ocean environments are of particular relevance.</t>
  </si>
  <si>
    <t>[Anderson, P. S.] British Antarctic Survey, Cambridge CB3 0ET, England; [Neff, W. D.] NOAA Earth Syst Res Lab, Boulder, CO USA</t>
  </si>
  <si>
    <t>UK Research &amp; Innovation (UKRI); Natural Environment Research Council (NERC); NERC British Antarctic Survey; National Oceanic Atmospheric Admin (NOAA) - USA</t>
  </si>
  <si>
    <t>Anderson, PS (corresponding author), British Antarctic Survey, Cambridge CB3 0ET, England.</t>
  </si>
  <si>
    <t>philip.s.anderson@bas.ac.uk</t>
  </si>
  <si>
    <t>Neff, William D/E-2725-2010</t>
  </si>
  <si>
    <t>Neff, William D/0000-0003-4047-7076</t>
  </si>
  <si>
    <t>10.5194/acp-8-3563-2008</t>
  </si>
  <si>
    <t>324KF</t>
  </si>
  <si>
    <t>WOS:000257516800011</t>
  </si>
  <si>
    <t>Levine, JG; Braesicke, P; Harris, NRP; Pyle, JA</t>
  </si>
  <si>
    <t>Levine, J. G.; Braesicke, P.; Harris, N. R. P.; Pyle, J. A.</t>
  </si>
  <si>
    <t>Seasonal and inter-annual variations in troposphere-to-stratosphere transport from the tropical tropopause layer</t>
  </si>
  <si>
    <t>WATER-VAPOR; MASS-TRANSPORT; EL-NINO; OZONE; CIRCULATION; CLIMATOLOGY; EXCHANGE; AIR; VARIABILITY; MODEL</t>
  </si>
  <si>
    <t>In an earlier study of troposphere-to-stratosphere transport (TST) via the tropical tropopause layer (TTL), we found that the vast majority of air parcels undergoing TST from the base of the TTL enter the extratropical lowermost stratosphere quasi-horizontally and show little or no regional preference with regards to origin in the TTL or entry into the stratosphere. We have since repeated the trajectory calculations - originally limited to a single Northern Hemisphere winter period - in a variety of months and years to assess how robust our earlier findings are to change of timing. To first order, we find that the main conclusions hold, irrespective of the season, year and phase of the El Nino Southern Oscillation (ENSO). We also explore: the distribution of TST between the Northern and Southern Hemispheres; the sensitivity of modelled TST to the definition of the tropopause; and the routes by which air parcels undergo transport exclusively to the stratospheric overworld. Subject to a dynamical definition of the tropopause, we identify a strong bias towards TST in the Southern Hemisphere, particularly during the Northern Hemisphere summer. The thermal tropopause, defined according to the World Meteorological Organization, lies above the dynamical tropopause throughout the extratropics. Inevitably, on switching to the thermal definition, we calculate much less transport across the tropopause, particularly in the subtropics, which could be important with regards to interpretation of processes affecting ozone chemistry in the extratropical lowermost stratosphere (ELS). In contrast to the rather homogeneous nature of TST into the ELS. we find that transport to the overworld takes place from relatively well-defined regions of the TTL, predominantly above the West Pacific and Indonesia, except for an El Nino period in which most transport takes place from regions above the East Pacific and South America.</t>
  </si>
  <si>
    <t>[Braesicke, P.; Pyle, J. A.] Univ Cambridge, Natl Ctr Atmospher Sci, Atmospher Chem Modelling Support Unit, Cambridge, England; [Harris, N. R. P.] Univ Cambridge, European Ozone Res Coordinating Unit, Cambridge, England; [Levine, J. G.; Braesicke, P.; Harris, N. R. P.; Pyle, J. A.] Univ Cambridge, Dept Chem, Ctr Atmospher Sci, Cambridge CB2 1EW, England</t>
  </si>
  <si>
    <t>UK Research &amp; Innovation (UKRI); Natural Environment Research Council (NERC); NERC National Centre for Atmospheric Science; University of Cambridge; University of Cambridge; University of Cambridge</t>
  </si>
  <si>
    <t>Levine, JG (corresponding author), British Antarctic Survey, Cambridge CB3 0ET, England.</t>
  </si>
  <si>
    <t>javi@bas.ac.uk</t>
  </si>
  <si>
    <t>Braesicke, Peter/D-8330-2016; Levine, James/KCZ-2135-2024</t>
  </si>
  <si>
    <t>Braesicke, Peter/0000-0003-1423-0619; Levine, James/0000-0002-0932-9115; Harris, Neil/0000-0003-1256-3006</t>
  </si>
  <si>
    <t>EU [SCOUT-03]; NERC-funded National Centre for Atmospheric Science (NCAS); NERC [NE/D008085/1] Funding Source: UKRI; Natural Environment Research Council [ncas10009, NE/C511248/1, NE/D008085/1] Funding Source: researchfish</t>
  </si>
  <si>
    <t>EU(European Union (EU)); NERC-funded National Centre for Atmospheric Science (NCAS); NERC(UK Research &amp; Innovation (UKRI)Natural Environment Research Council (NERC)); Natural Environment Research Council(UK Research &amp; Innovation (UKRI)Natural Environment Research Council (NERC))</t>
  </si>
  <si>
    <t>This is a contribution to the EU Integrated Project SCOUT-03 we gratefully acknowledge the support of the EU. The work was also supported by the NERC-funded National Centre for Atmospheric Science (NCAS) and gratefully acknowledges an e-science studentship, provided by the NERC. Finally, we are grateful to John Methven for his continuing support in using the trajectory code, Offline 3.JGL</t>
  </si>
  <si>
    <t>10.5194/acp-8-3689-2008</t>
  </si>
  <si>
    <t>WOS:000257516800019</t>
  </si>
  <si>
    <t>Jones, AE; Wolff, EW; Salmon, RA; Bauguitte, SJB; Roscoe, HK; Anderson, PS; Ames, D; Clemitshaw, KC; Fleming, ZL; Bloss, WJ; Heard, DE; Lee, JD; Read, KA; Hamer, P; Shallcross, DE; Jackson, AV; Walker, SL; Lewis, AC; Mills, GP; Plane, JMC; Saiz-Lopez, A; Sturges, WT; Worton, DR</t>
  </si>
  <si>
    <t>Jones, A. E.; Wolff, E. W.; Salmon, R. A.; Bauguitte, S. J. -B.; Roscoe, H. K.; Anderson, P. S.; Ames, D.; Clemitshaw, K. C.; Fleming, Z. L.; Bloss, W. J.; Heard, D. E.; Lee, J. D.; Read, K. A.; Hamer, P.; Shallcross, D. E.; Jackson, A. V.; Walker, S. L.; Lewis, A. C.; Mills, G. P.; Plane, J. M. C.; Saiz-Lopez, A.; Sturges, W. T.; Worton, D. R.</t>
  </si>
  <si>
    <t>Chemistry of the Antarctic Boundary Layer and the Interface with Snow: an overview of the CHABLIS campaign</t>
  </si>
  <si>
    <t>SOUTH-POLE; COASTAL ANTARCTICA; OZONE DEPLETION; DUMONT DURVILLE; SURFACE OZONE; VARIABILITY; TROPOSPHERE; NITRATE; OH; NEUMAYER</t>
  </si>
  <si>
    <t>CHABLIS (Chemistry of the Antarctic Boundary Layer and the Interface with Snow) was a collaborative UK research project aimed at probing the detailed chemistry of the Antarctic boundary layer and the exchange of trace gases at the snow surface. The centre-piece to CHABLIS was the measurement campaign, conducted at the British Antarctic Survey station, Halley, in coastal Antarctica, from January 2004 through to February 2005. The campaign measurements covered an extremely wide range of species allowing investigations to be carried out within the broad context of boundary layer chemistry. Here we present an overview of the CHABLIS campaign. We provide details of the measurement location and introduce the Clean Air Sector Laboratory (CASLab) where the majority of the instruments were housed. We describe the meteorological conditions experienced during the campaign and present supporting chemical data, both of which provide a context within which to view the campaign results. Finally we provide a brief summary of highlights from the measurement campaign. Unexpectedly high halogen concentrations profoundly affect the chemistry of many species at Halley throughout the sunlit months, with a secondary role played by emissions from the snowpack. This overarching role for halogens in coastal Antarctic boundary layer chemistry was completely unanticipated, and the results have led to a step-change in our thinking and understanding.</t>
  </si>
  <si>
    <t>[Jones, A. E.; Wolff, E. W.; Salmon, R. A.; Bauguitte, S. J. -B.; Roscoe, H. K.; Anderson, P. S.] British Antarctic Survey, NERC, Cambridge CB3 0ET, England; [Ames, D.; Clemitshaw, K. C.; Fleming, Z. L.] Univ London Imperial Coll Sci Technol &amp; Med, Dept Environm Sci &amp; Technol, Ascot, Berks, England; [Bloss, W. J.; Heard, D. E.; Lee, J. D.; Read, K. A.] Univ Leeds, Sch Chem, Leeds LS2 9JT, W Yorkshire, England; [Hamer, P.; Shallcross, D. E.] Univ Bristol, Sch Chem, Bristol BS8 1TS, Avon, England; [Jackson, A. V.; Walker, S. L.] Univ Leeds, Inst Atmospher Sci, Sch Earth &amp; Environm, Leeds LS2 9JT, W Yorkshire, England; [Lewis, A. C.] Univ York, Dept Chem, York YO10 5DD, N Yorkshire, England; [Mills, G. P.; Plane, J. M. C.; Saiz-Lopez, A.; Sturges, W. T.; Worton, D. R.] Univ E Anglia, Sch Environm Sci, Norwich NR4 7TJ, Norfolk, England</t>
  </si>
  <si>
    <t>UK Research &amp; Innovation (UKRI); Natural Environment Research Council (NERC); NERC British Antarctic Survey; Imperial College London; University of Leeds; University of Bristol; University of Leeds; University of York - UK; University of East Anglia</t>
  </si>
  <si>
    <t>Jones, AE (corresponding author), British Antarctic Survey, NERC, Madingley Rd, Cambridge CB3 0ET, England.</t>
  </si>
  <si>
    <t>a.jones@bas.ac.uk</t>
  </si>
  <si>
    <t>Sturges, William/B-8248-2012; Bloss, William/N-1305-2014; Fleming, Zoe/AHB-1124-2022; lee, sooyoon/JEP-0415-2023; Fleming, Zoë/AAU-8214-2020; Plane, John M C/C-7444-2015; Wolff, Eric W/D-7925-2014; Saiz-Lopez, Alfonso/B-3759-2015; Heard, Dwayne/M-3624-2017; Lewis, Alastair/A-6721-2008; Worton, David/A-8374-2012</t>
  </si>
  <si>
    <t>Bloss, William/0000-0002-3017-4461; Fleming, Zoë/0000-0001-5732-1479; Wolff, Eric W/0000-0002-5914-8531; Saiz-Lopez, Alfonso/0000-0002-0060-1581; Hamer, Paul/0000-0003-0645-2932; Read, Katie/0000-0002-4044-455X; Heard, Dwayne/0000-0002-0357-6238; Lewis, Alastair/0000-0002-4075-3651; Lee, James D/0000-0001-5397-2872; Worton, David/0000-0002-6558-5586</t>
  </si>
  <si>
    <t>Natural Environment Research Council [bas010016, ncas10008, NER/G/S/2001/00010] Funding Source: researchfish; NERC [ncas10008, bas010016] Funding Source: UKRI</t>
  </si>
  <si>
    <t>10.5194/acp-8-3789-2008</t>
  </si>
  <si>
    <t>333IP</t>
  </si>
  <si>
    <t>WOS:000258146500006</t>
  </si>
  <si>
    <t>Salmon, RA; Bauguitte, SJB; Bloss, W; Hutterli, MA; Jones, AE; Read, K; Wolff, EW</t>
  </si>
  <si>
    <t>Salmon, R. A.; Bauguitte, S. J. -B.; Bloss, W.; Hutterli, M. A.; Jones, A. E.; Read, K.; Wolff, E. W.</t>
  </si>
  <si>
    <t>Measurement and interpretation of gas phase formaldehyde concentrations obtained during the CHABLIS campaign in coastal Antarctica</t>
  </si>
  <si>
    <t>HYDROGEN-PEROXIDE H2O2; ATMOSPHERIC CHEMISTRY; CARBONYL-COMPOUNDS; BOUNDARY-LAYER; PHOTOCHEMICAL DATA; SNOW; SUMMIT; RADICALS; AIR; OH</t>
  </si>
  <si>
    <t>Gas phase formaldehyde concentrations were measured during the 2004-2005 CHABLIS campaign at Halley research station, Antarctica. Data coverage span from May 2004 through to January 2005, thus capturing the majority of the year, with a wintertime minimum of near or below the instrumental detection limit rising to between 50 and 200 pptv during the austral summer. Factors controlling HCHO concentration include local chemical sources and sinks, and exchange with the snow surface. The measured seasonality is in line with previous observations from Neumayer station, with maximum in summer and minimum during the winter months, but with lower absolute concentrations throughout the year. The gas-phase production of HCHO was dominated by methane oxidation and a steady-state analysis showed that reactions of iodine and bromine species substantially reduced the predicted HCHO levels based upon in situ chemistry. This indicates a substantial additional HCHO source to be present that could be explained by a snowpack source.</t>
  </si>
  <si>
    <t>[Salmon, R. A.; Bauguitte, S. J. -B.; Hutterli, M. A.; Jones, A. E.; Wolff, E. W.] British Antarctic Survey, Cambridge CB3 0ET, England; [Bloss, W.] Univ Birmingham, Sch Geog Earth &amp; Environm Sci, Birmingham B15 2TT, W Midlands, England; [Read, K.] Univ York, Dept Chem, York YO19 4RR, N Yorkshire, England</t>
  </si>
  <si>
    <t>UK Research &amp; Innovation (UKRI); Natural Environment Research Council (NERC); NERC British Antarctic Survey; University of Birmingham; University of York - UK</t>
  </si>
  <si>
    <t>Salmon, RA (corresponding author), British Antarctic Survey, Madingley Rd, Cambridge CB3 0ET, England.</t>
  </si>
  <si>
    <t>ipy.ras@gmail.com</t>
  </si>
  <si>
    <t>Bloss, William/N-1305-2014; Wolff, Eric W/D-7925-2014</t>
  </si>
  <si>
    <t>Bloss, William/0000-0002-3017-4461; Wolff, Eric W/0000-0002-5914-8531; Read, Katie/0000-0002-4044-455X</t>
  </si>
  <si>
    <t>NERC [bas010016] Funding Source: UKRI; Natural Environment Research Council [bas010016, NER/G/S/2001/00010] Funding Source: researchfish</t>
  </si>
  <si>
    <t>10.5194/acp-8-4085-2008</t>
  </si>
  <si>
    <t>WOS:000258146500028</t>
  </si>
  <si>
    <t>Boundary layer physics over snow and ice (vol 8, pg 3563, 2008)</t>
  </si>
  <si>
    <t>Correction</t>
  </si>
  <si>
    <t>No abstract available.</t>
  </si>
  <si>
    <t>[Anderson, P. S.] British Antarctic Survey, Cambridge CB3 0ET, England; [Neff, W. D.] NOAA, Earth Syst Res Lab, Boulder, CO USA</t>
  </si>
  <si>
    <t>10.5194/acp-8-4115-2008</t>
  </si>
  <si>
    <t>WOS:000258146500031</t>
  </si>
  <si>
    <t>Zorn, SR; Drewnick, F; Schott, M; Hoffmann, T; Borrmann, S</t>
  </si>
  <si>
    <t>Zorn, S. R.; Drewnick, F.; Schott, M.; Hoffmann, T.; Borrmann, S.</t>
  </si>
  <si>
    <t>Characterization of the South Atlantic marine boundary layer aerosol using an aerodyne aerosol mass spectrometer</t>
  </si>
  <si>
    <t>SEA-SALT SULFATE; COASTAL ANTARCTIC AEROSOL; METHANE SULFONIC-ACID; METHANESULFONIC-ACID; SEASONAL-VARIATIONS; DIMETHYL-SULFOXIDE; SINGLE-PARTICLE; SULFUR-DIOXIDE; MACE HEAD; OXIDATION</t>
  </si>
  <si>
    <t>Measurements of the submicron fraction of the atmospheric aerosol in the marine boundary layer were performed from January to March 2007 (Southern Hemisphere summer) onboard the French research vessel Marion Dufresne in the Southern Atlantic and Indian Ocean (20 degrees S-60 degrees S, 70 degrees W60 degrees E). We used an Aerodyne High-Resolution-Time-of-Flight AMS to characterize the chemical composition and to measure species-resolved size distributions of non-refractory aerosol components in the submicron range. Within the 'standard' AMS compounds (ammonium, chloride, nitrate, sulfate, organics) 'sulfate' is the dominant species in the marine boundary layer with concentrations ranging between 50 ng m(-3) and 3 mu g m(-3). Furthermore, what is seen as 'sulfate' by the AMS is likely comprised mostly of sulfuric acid. Another sulfur containing species that is produced in marine environments is methanesulfonic acid (MSA). There have been previously measurements of MSA using an Aerodyne AMS. However, due to the use of an instrument equipped with a quadrupole detector with unit mass resolution it was not possible to physically separate MSA from other contributions to the same m/z. In order to identify MSA within the HR-ToF-AMS raw data and to extract mass concentrations for MSA from the field measurements the standard high-resolution MSA fragmentation patterns for the measurement conditions during the ship campaign (e.g. vaporizer temperature) needed to be determined. To identify characteristic air masses and their source regions backwards trajectories were used and averaged concentrations for AMS standard compounds were calculated for each air mass type. Sulfate mass size distributions were measured for these periods showing a distinct difference between oceanic air masses and those from African outflow. While the peak in the mass distribution was roughly at 250 nm (vacuum aerodynamic diameter) in marine air masses, it was shifted to 470 nm in African outflow air. Correlations between the mass concentrations of sulfate, organics and MSA show a narrow correlation for MSA with sulfate/sulfuric acid coming from the ocean, but not with continental sulfate.</t>
  </si>
  <si>
    <t>[Zorn, S. R.; Drewnick, F.; Borrmann, S.] Max Planck Inst Chem, Particle Chem Dept, Mainz, Germany; [Zorn, S. R.; Borrmann, S.] Johannes Gutenberg Univ Mainz, Inst Atmospher Phys, Mainz, Germany; [Schott, M.; Hoffmann, T.] Johannes Gutenberg Univ Mainz, Inst Inorgan &amp; Analyt Chem, Mainz, Germany</t>
  </si>
  <si>
    <t>Max Planck Society; Johannes Gutenberg University of Mainz; Johannes Gutenberg University of Mainz</t>
  </si>
  <si>
    <t>Zorn, SR (corresponding author), Max Planck Inst Chem, Particle Chem Dept, Mainz, Germany.</t>
  </si>
  <si>
    <t>zorns@mpch-mainz.mpg.de</t>
  </si>
  <si>
    <t>Drewnick, Frank/D-3978-2018; Hoffmann, Thorsten/A-7490-2012; Borrmann, Stephan/E-3868-2010; Zorn, Soeren R/C-1205-2008</t>
  </si>
  <si>
    <t>Borrmann, Stephan/0000-0002-4774-9380; Hoffmann, Thorsten/0000-0003-0939-271X</t>
  </si>
  <si>
    <t>OOMPH (Organics over the Ocean Modifying Particles in both Hemispheres); Institut Polaire Francais Paul Emile Victor (IPEV); German Research Foundation (DFG); EU</t>
  </si>
  <si>
    <t>OOMPH (Organics over the Ocean Modifying Particles in both Hemispheres); Institut Polaire Francais Paul Emile Victor (IPEV); German Research Foundation (DFG)(German Research Foundation (DFG)); EU(European Union (EU))</t>
  </si>
  <si>
    <t>This research was supported by the OOMPH (Organics over the Ocean Modifying Particles in both Hemispheres) project of the EU Sixth Framework Programme. We would like to thank T. Bottger and the crew of the Marion Dufresne for logistical support, and J. Williams, Co-Ordinator of the OOMPH procect, for making it possible for us to participate in this project. Thanks to J. Sciare for sharing his PILS-IC data and to H. Wernli for back trajectory data. We also thank the German Weather Service (DWD) for providing access to the ECMWF analysis data used for the trajectory calculations. Special thanks to the Institut Polaire Francais Paul Emile Victor (IPEV) for funding of our participation in the cruise through the IPEV-AEROTRACE program and for providing sea surface temperature and wind data. S. Zorn also thanks the German Research Foundation (DFG) for financing his work through the Research Training School GRK 826. T. Hoffmann and M. Schott acknowledge financial support from the EU project MAP (Marine Aerosol Production).</t>
  </si>
  <si>
    <t>10.5194/acp-8-4711-2008</t>
  </si>
  <si>
    <t>343OR</t>
  </si>
  <si>
    <t>WOS:000258863900016</t>
  </si>
  <si>
    <t>Boxe, CS; Saiz-Lopez, A</t>
  </si>
  <si>
    <t>Boxe, C. S.; Saiz-Lopez, A.</t>
  </si>
  <si>
    <t>Multiphase modeling of nitrate photochemistry in the quasi-liquid layer (QLL):: implications for NOx release from the Arctic and coastal Antarctic snowpack</t>
  </si>
  <si>
    <t>BOUNDARY-LAYER; SOUTH-POLE; HYDROGEN-PEROXIDE; PHOTOLYSIS RATES; NITROGEN-DIOXIDE; OZONE DEPLETION; QUANTUM YIELDS; ICE PARTICLES; SURFACE SNOW; NITRIC-ACID</t>
  </si>
  <si>
    <t>We utilize a multiphase model, CON-AIR (Condensed Phase to Air Transfer Model), to show that the photochemistry of nitrate (NO3-) in and on ice and snow surfaces, specifically the quasi-liquid layer (QLL), can account for NOx volume fluxes, concentrations, and [NO]/[NO2] (gamma=[NO]/[NO2]) measured just above the Arctic and coastal Antarctic snowpack. Maximum gas phase NOx volume fluxes, concentrations and gamma simulated for spring and summer range from 5.0x10(4) to 6.4x10(5) molecules cm(-3) s(-1), 5.7x10(8) to 4.8x10(9) molecules cm(-3), and similar to 0.8 to 2.2, respectively, which are comparable to gas phase NOx volume fluxes, concentrations and gamma measured in the field. The model incorporates the appropriate actinic solar spectrum, thereby properly weighting the different rates of photolysis of NO3- and NO2-. This is important since the immediate precursor for NO, for example, NO2-, absorbs at wavelengths longer than nitrate itself. Finally, one-dimensional model simulations indicate that both gas phase boundary layer NO and NO2 exhibit a negative concentration gradient as a function of height although [NO]/[NO2] are approximately constant. This gradient is primarily attributed to gas phase reactions of NOx with halogens oxides (i.e. as BrO and IO), HOx, and hydrocarbons, such as CH3O2.</t>
  </si>
  <si>
    <t>[Boxe, C. S.; Saiz-Lopez, A.] CALTECH, Jet Prop Lab, NASA, Div Earth &amp; Space Sci, Pasadena, CA 91109 USA</t>
  </si>
  <si>
    <t>National Aeronautics &amp; Space Administration (NASA); NASA Jet Propulsion Laboratory (JPL); California Institute of Technology</t>
  </si>
  <si>
    <t>Boxe, CS (corresponding author), CALTECH, Jet Prop Lab, NASA, Div Earth &amp; Space Sci, Pasadena, CA 91109 USA.</t>
  </si>
  <si>
    <t>christopher.boxe@jpl.nasa.gov</t>
  </si>
  <si>
    <t>Saiz-Lopez, Alfonso/B-3759-2015</t>
  </si>
  <si>
    <t>Saiz-Lopez, Alfonso/0000-0002-0060-1581</t>
  </si>
  <si>
    <t>NASA; Oak Ridge Associated Universities</t>
  </si>
  <si>
    <t>NASA(National Aeronautics &amp; Space Administration (NASA)); Oak Ridge Associated Universities</t>
  </si>
  <si>
    <t>C. S. Boxe and A. Saiz-Lopez were supported by an appointment to the NASA Postdoctoral Program at the Jet Propulsion Laboratory, administered by Oak Ridge Associated Universities through a contract with the National Aeronautics and Space Administration (NASA). Research at the Jet Propulsion Laboratory, California Institute of Technology, under a contract with NASA, was supported by the NASA Upper Atmosphere Research and Tropospheric Chemistry Programs.</t>
  </si>
  <si>
    <t>10.5194/acp-8-4855-2008</t>
  </si>
  <si>
    <t>WOS:000258863900025</t>
  </si>
  <si>
    <t>Pazmiño, AF; Godin-Beekmann, S; Luccini, EA; Piacentini, RD; Quel, EJ; Hauchecorne, A</t>
  </si>
  <si>
    <t>Pazmino, A. F.; Godin-Beekmann, S.; Luccini, E. A.; Piacentini, R. D.; Quel, E. J.; Hauchecorne, A.</t>
  </si>
  <si>
    <t>Increased UV radiation due to polar ozone chemical depletion and vortex occurrences at Southern Sub-polar Latitudes in the period [1997-2005]</t>
  </si>
  <si>
    <t>STRATOSPHERIC OZONE; EARTHS SURFACE; ULTRAVIOLET-RADIATION; POTENTIAL VORTICITY; PUNTA-ARENAS; POAM-III; HOLE; SATELLITE; WINTER; REFLECTIVITY</t>
  </si>
  <si>
    <t>The variability of total ozone and UV radiation from Total Ozone Mapping, Spectrometer (TOMS) measurements is analyzed as a function of polar vortex Occurrences over the southern subpolar regions during the 1997-2005 period. The analysis of vortex occurrences showed high interannual variability in the 40 degrees S-60 degrees S latitude band with a longitudinal asymmetry showing the largest frequencies over the 90 degrees W-90 degrees E region. The impact of vortex occurrences on UV radiation and ozone in clear sky conditions was determined from the comparison between the measurements inside the vortex and a climatology obtained from data outside the vortex over the studied period. Clear sky conditions were determined from TOMS reflectivity data. For measurements outside the vortex, clear sky conditions were selected for reflectivity values lower than 7.5%, while for measurements inside the vortex, a relaxed threshold was determined from statistically similar UV values as a function of reflectivity. UV changes and ozone differences from the climatology were analyzed in the 40 degrees S-50 degrees S and 50 degrees S-60 degrees S latitude bands during the spring period (September to November). The largest UV increases and ozone decreases, reaching similar to 200% and similar to 65%, respectively, were found in the 50 degrees S-60 degrees S latitude band in September and October. The heterogeneous ozone loss during vortex occurrences was estimated using a chemical transport port model. The largest impact of vortex occurrences was found in October with mean UV increase, total ozone decrease and accumulated ozone loss in the 350-650 K range of. respectively, 47%, 30% and 57%. The region close to South America is the most affected by the Antarctic ozone depletion due to the combined effect of large number of vortex occurrences, lower cloud cover and large ozone decrease. This region would be the most vulnerable in case of cloud cover decrease, due to more frequent occurrence of ozone poor air masses during austral sprint.</t>
  </si>
  <si>
    <t>[Pazmino, A. F.; Godin-Beekmann, S.] Univ Paris 06, UMR 7620, Serv Aeron, F-75005 Paris, France; [Pazmino, A. F.; Godin-Beekmann, S.] CNRS, UMR 7620, Serv Aeron, F-75005 Paris, France; [Pazmino, A. F.; Hauchecorne, A.] UPMC, Univ Versailles St Quentin, CNRS, Serv Aeron, F-91370 Verrieres Le Buisson, France; [Luccini, E. A.; Piacentini, R. D.] Univ Nacl Rosario, CONICET, Inst Fis Rosario, RA-2000 Rosario, Santa Fe, Argentina; [Luccini, E. A.] Univ Catolica Argentina, Fac Quim &amp; Ingn Fray Rogelio Bacon, Rosario, Santa Fe, Argentina; [Piacentini, R. D.] Univ Nacl Rosario, Fac Ciencias Exactas Ingn &amp; Agrimensura, RA-2000 Rosario, Santa Fe, Argentina; [Quel, E. J.] Consejo Nacl Invest Cient &amp; Tecn, CITEFA, CEILAP, Villa Martelli, Argentina</t>
  </si>
  <si>
    <t>Sorbonne Universite; Centre National de la Recherche Scientifique (CNRS); Centre National de la Recherche Scientifique (CNRS); Sorbonne Universite; Universite Paris Saclay; National University of Rosario; Consejo Nacional de Investigaciones Cientificas y Tecnicas (CONICET); Pontificia Universidad Catolica Argentina; National University of Rosario; Consejo Nacional de Investigaciones Cientificas y Tecnicas (CONICET)</t>
  </si>
  <si>
    <t>Pazmiño, AF (corresponding author), Univ Paris 06, UMR 7620, Serv Aeron, F-75005 Paris, France.</t>
  </si>
  <si>
    <t>andrea.pazmino@aero.jussieu.fr</t>
  </si>
  <si>
    <t>Hauchecorne, Alain/A-8489-2013</t>
  </si>
  <si>
    <t>Hauchecorne, Alain/0000-0001-9888-6994</t>
  </si>
  <si>
    <t>Argentina Agency for the Promotion of Science and Technology and CONICET; Agence Nationale pour La Recherche</t>
  </si>
  <si>
    <t>Argentina Agency for the Promotion of Science and Technology and CONICET(Consejo Nacional de Investigaciones Cientificas y Tecnicas (CONICET)); Agence Nationale pour La Recherche(Agence Nationale de la Recherche (ANR))</t>
  </si>
  <si>
    <t>The authors thank the TOMS team for providing the ozone. UV and reflectivity data and ECMWF for meteorological data. RDP acknowledge the support provided by the Argentina Agency for the Promotion of Science and Technology and CONICET This work was performed within the ORACLE-O3 France project funded by the Agence Nationale pour La Recherche. The authors also thank the two anonymous reviewers for their useful and constructive comments.</t>
  </si>
  <si>
    <t>10.5194/acp-8-5339-2008</t>
  </si>
  <si>
    <t>348PC</t>
  </si>
  <si>
    <t>WOS:000259221400018</t>
  </si>
  <si>
    <t>Wolff, EW; Jones, AE; Bauguitte, SJB; Salmon, RA</t>
  </si>
  <si>
    <t>Wolff, E. W.; Jones, A. E.; Bauguitte, S. J. -B.; Salmon, R. A.</t>
  </si>
  <si>
    <t>The interpretation of spikes and trends in concentration of nitrate in polar ice cores, based on evidence from snow and atmospheric measurements</t>
  </si>
  <si>
    <t>SEGREGATED AEROSOL COMPOSITION; COASTAL ANTARCTICA; DUMONT DURVILLE; SOUTH-POLE; CHEMISTRY; RECORD; GREENLAND; IDENTIFICATION; PRECIPITATION; VARIABILITY</t>
  </si>
  <si>
    <t>Nitrate is frequently measured in ice cores, but its interpretation remains immature. Using daily snow surface concentrations of nitrate at Halley (Antarctica) for 2004 - 2005, we show that sharp spikes (&gt; factor 2) in nitrate concentration can occur from day to day. Some of these spikes will be preserved in ice cores. Many of them are associated with sharp increases in the concentration of sea salt in the snow. There is also a close association between the concentrations of aerosol nitrate and sea salt aerosol. This evidence is consistent with many of the spikes in deposited nitrate being due to the conversion or trapping of gas- phase nitrate, i. e. to enhanced deposition rather than enhanced atmospheric concentrations of NOy. Previously, sharp spikes in nitrate concentration (with concentration increases of up to a factor 4 seen in probably just one snowfall) have been assigned to sharp production events such as solar proton events (SPEs). We find that it is unlikely that SPEs can produce spikes of the kind seen. Taken together with our evidence that such spikes can be produced depositionally, we find that it is not possible to track past SPEs without carrying out a new multi- site and multi- analyte programme. Seasonal and interannual trends in nitrate concentration in cores from any single site cannot be interpreted in terms of production changes until the recycling of nitrate from central Antarctica to coastal Antarctica is better quantified. It might be possible to assess the interannual input of NOy to the Antarctic lower troposphere by using a network of cores to estimate variability in the total annual deposition across the continent (which we estimate to be 9 +/- 2 x 10(7) kg/a - as NO3-), but it will first have to be established that the outflow across the coast can be ignored.</t>
  </si>
  <si>
    <t>[Wolff, E. W.; Jones, A. E.; Bauguitte, S. J. -B.; Salmon, R. A.] British Antarctic Survey, Nat Environm Res Council, Cambridge CB3 0ET, England</t>
  </si>
  <si>
    <t>Wolff, EW (corresponding author), British Antarctic Survey, Nat Environm Res Council, High Cross,Madingley Rd, Cambridge CB3 0ET, England.</t>
  </si>
  <si>
    <t>ewwo@bas.ac.uk</t>
  </si>
  <si>
    <t>Wolff, Eric W/D-7925-2014</t>
  </si>
  <si>
    <t>Wolff, Eric W/0000-0002-5914-8531</t>
  </si>
  <si>
    <t>Natural Environment Research Council [bas010016, NER/G/S/2001/00010] Funding Source: researchfish; NERC [bas010016] Funding Source: UKRI</t>
  </si>
  <si>
    <t>10.5194/acp-8-5627-2008</t>
  </si>
  <si>
    <t>354NY</t>
  </si>
  <si>
    <t>WOS:000259647500009</t>
  </si>
  <si>
    <t>Funke, B; López-Puertas, M; García-Comas, M; Stiller, GP; von Clarmann, T; Glatthor, N</t>
  </si>
  <si>
    <t>Funke, B.; Lopez-Puertas, M.; Garcia-Comas, M.; Stiller, G. P.; von Clarmann, T.; Glatthor, N.</t>
  </si>
  <si>
    <t>Mesospheric N2O enhancements as observed by MIPAS on Envisat during the polar winters in 2002-2004</t>
  </si>
  <si>
    <t>SOLAR PROTON EVENTS; STRATOSPHERIC ABUNDANCES; ATMOS MEASUREMENTS; NITROUS-OXIDE; CH4; TERM; GAS</t>
  </si>
  <si>
    <t>N2O abundances ranging from 0.5 to 6 ppbv were observed in the polar upper stratosphere/lower mesosphere by the MIPAS instrument on the Envisat satellite during the Arctic and Antarctic winters in the period July 2002 to March 2004. A detailed study of the observed N2O-CH4 correlations shows that such enhancements cannot be explained by dynamics without invoking an upper atmospheric chemical source of N2O. The N2O enhancements observed at 58 km occurred in the presence of NOx intrusions from the upper atmosphere which were related to energetic particle precipitation. Further, the inter-annual variability of mesospheric N2O correlates well with observed precipitating electron fluxes. The analysis of possible chemical production mechanisms shows that the major part of the observed N2O enhancements is most likely generated under dark conditions by the reaction of NO2 with atomic nitrogen at altitudes around 70-75 km in the presence of energetic particle precipitation (EPP). A possible additional source of N2O in the middle and upper polar atmosphere is the reaction of N-2(A(3)Sigma(+)(u)), generated by precipitating electrons, with O-2, which would lead to N2O production peaking at altitudes around 90-100 km. N2O produced by the latter mechanism could then descend to the mesosphere and upper stratosphere during polar winter. The estimated fraction of EPP-generated N2O to the total stratospheric N2O inside the polar vortex above 20 km (30 km) never exceeds 1% (10%) during the 2002-2004 winters. Compared to the global amount of stratospheric N2O, the EPP-generated contribution is negligible.</t>
  </si>
  <si>
    <t>[Funke, B.; Lopez-Puertas, M.; Garcia-Comas, M.] CSIC, Inst Astrofis Andalucia, Granada, Spain; [Stiller, G. P.; von Clarmann, T.; Glatthor, N.] Univ Karlsruhe, IMK, Karlsruhe, Germany; [Stiller, G. P.; von Clarmann, T.; Glatthor, N.] Forschungszentrum, Karlsruhe, Germany</t>
  </si>
  <si>
    <t>Consejo Superior de Investigaciones Cientificas (CSIC); CSIC - Instituto de Astrofisica de Andalucia (IAA); Helmholtz Association; Karlsruhe Institute of Technology; Helmholtz Association; Karlsruhe Institute of Technology</t>
  </si>
  <si>
    <t>Funke, B (corresponding author), CSIC, Inst Astrofis Andalucia, Granada, Spain.</t>
  </si>
  <si>
    <t>bernd@iaa.es</t>
  </si>
  <si>
    <t>Stiller, Gabriele P./A-7340-2013; Glatthor, Norbert/B-2141-2013; Garcia-Comas, Maya/E-4050-2014; von Clarmann, Thomas/A-7287-2013; Funke, Bernd/C-2162-2008; Lopez-Puertas, Manuel/M-8219-2013</t>
  </si>
  <si>
    <t>Stiller, Gabriele P./0000-0003-2883-6873; Garcia-Comas, Maya/0000-0003-2323-4486; Funke, Bernd/0000-0003-0462-4702; Lopez-Puertas, Manuel/0000-0003-2941-7734; von Clarmann, Thomas/0000-0003-2219-3379</t>
  </si>
  <si>
    <t>Spanish project [ESP2004-01556]; EC FEDER; Priority Program CAWSES of the German science foundation (DFG)</t>
  </si>
  <si>
    <t>Spanish project(Spanish Government); EC FEDER(European Union (EU)European Commission Joint Research Centre); Priority Program CAWSES of the German science foundation (DFG)(German Research Foundation (DFG))</t>
  </si>
  <si>
    <t>The IAA team was supported by the Spanish project ESP2004-01556 and EC FEDER funds. The IMK team was supported by the Priority Program CAWSES of the German science foundation (DFG) under the project MANOXUVA. The authors acknowledge ESA for providing MIPAS spectra and level-2 data, as well as ECMWF for meteorological analysis data.</t>
  </si>
  <si>
    <t>10.5194/acp-8-5787-2008</t>
  </si>
  <si>
    <t>367NH</t>
  </si>
  <si>
    <t>WOS:000260558200004</t>
  </si>
  <si>
    <t>Morin, S; Marion, GM; von Glasow, R; Voisin, D; Bouchez, J; Savarino, J</t>
  </si>
  <si>
    <t>Morin, S.; Marion, G. M.; von Glasow, R.; Voisin, D.; Bouchez, J.; Savarino, J.</t>
  </si>
  <si>
    <t>Precipitation of salts in freezing seawater and ozone depletion events: a status report</t>
  </si>
  <si>
    <t>PHASE-TRANSITIONS; LOW-TEMPERATURES; SOLUBILITY</t>
  </si>
  <si>
    <t>In springtime, the polar marine boundary layer exhibits drastic ozone depletion events (ODEs), associated with elevated bromine oxide (BrO) mixing ratios. The current interpretation of this peculiar chemistry requires the existence of acid and bromide-enriched surfaces to heterogeneously promote and sustain ODEs. Sander et al. (2006) have proposed that calcium carbonate (CaCO3) precipitation in any seawater-derived medium could potentially decrease its alkalinity, making it easier for atmospheric acids such as HNO3 and H2SO4 to acidify it. We performed simulations using the state-of-the-art FREZCHEM model, capable of handling the thermodynamics of concentrated electrolyte solutions, to try to reproduce their results, and found that when ikaite (CaCO3 center dot 6H(2)O) rather than calcite (CaCO3) precipitates, there is no such effect on alkalinity. Given that ikaite has recently been identified in Antarctic brines (Dieckmann et al., 2008), our results show that great caution should be exercised when using the results of Sander et al. (2006), and reveal the urgent need of laboratory investigations on the actual link(s) between bromine activation and the pH of the surfaces on which it is supposed to take place at subzero temperature. In addition, the evolution of the Cl/Br ratio in the brine during freezing was computed using FREZCHEM, taking into account Br substitutions in Cl-containing salts.</t>
  </si>
  <si>
    <t>[Morin, S.; Voisin, D.; Bouchez, J.; Savarino, J.] CNRS, Inst Natl Sci Univers, F-75700 Paris, France; [Morin, S.; Voisin, D.; Savarino, J.] Univ Grenoble 1, Lab Glaciol &amp; Geophys Environm, Grenoble, France; [Marion, G. M.] Univ Nevada, Desert Res Inst, Reno, NV 89506 USA; [von Glasow, R.] Univ E Anglia, Sch Environm Sci, Norwich NR4 7TJ, Norfolk, England; [Bouchez, J.] Univ Paris Diderot, Inst Phys Globe Paris, Equipe Geochim Cosmochim, Paris, France</t>
  </si>
  <si>
    <t>Centre National de la Recherche Scientifique (CNRS); Communaute Universite Grenoble Alpes; Universite Grenoble Alpes (UGA); Nevada System of Higher Education (NSHE); University of Nevada Reno; Desert Research Institute NSHE; University of East Anglia; Universite Paris Cite</t>
  </si>
  <si>
    <t>Morin, S (corresponding author), CNRS, Inst Natl Sci Univers, F-75700 Paris, France.</t>
  </si>
  <si>
    <t>samuel.morin@ujf-grenoble.fr</t>
  </si>
  <si>
    <t>Morin, Samuel/E-8005-2011; Bouchez, Julien/E-7034-2017; Savarino, Joel/H-9730-2012; voisin, didier/ABE-6110-2020; von Glasow, Roland/E-2125-2011</t>
  </si>
  <si>
    <t>Morin, Samuel/0000-0002-1781-687X; Bouchez, Julien/0000-0003-4832-1615; Savarino, Joel/0000-0002-6708-9623; voisin, didier/0000-0003-1317-7561; von Glasow, Roland/0000-0002-3944-2784</t>
  </si>
  <si>
    <t>10.5194/acp-8-7317-2008</t>
  </si>
  <si>
    <t>393YS</t>
  </si>
  <si>
    <t>WOS:000262413000030</t>
  </si>
  <si>
    <t>Aydin, M; Williams, MB; Tatum, C; Saltzman, ES</t>
  </si>
  <si>
    <t>Aydin, M.; Williams, M. B.; Tatum, C.; Saltzman, E. S.</t>
  </si>
  <si>
    <t>Carbonyl sulfide in air extracted from a South Pole ice core: a 2000 year record</t>
  </si>
  <si>
    <t>STRATOSPHERIC SULFATE AEROSOL; MEDIEVAL WARM PERIOD; CLIMATE-CHANGE; TERRESTRIAL VEGETATION; SURFACE TEMPERATURES; DIMETHYL SULFIDE; LAST MILLENNIUM; ATMOSPHERIC CO2; GLOBAL SOURCES; SULFUR GASES</t>
  </si>
  <si>
    <t>In this study, we present carbonyl sulfide (COS) measurements from an ice core drilled near South Pole, East Antarctica (SPRESSO). The samples are from 135-291 m, with estimated mean COS ages ranging from 278 to 2155 years before present (defined as 2000 C.E.). When combined with the previous records of COS from Antarctic ice cores and firn air, the current data provide a continuous record of COS extending beyond the last two millennia. The general agreement between ice cores, firn air, and modern air measurements supports the idea that polar ice is a valid archive for paleoatmospheric COS. The average COS mixing ratio of the SPRESSO data set is (331 +/- 18) ppt (parts per trillion in mol/mol, +/- 1 sigma, n=100), excluding 6 outliers. These data confirm earlier firn air and ice core measurements indicating that the late 20th century COS levels of 500 ppt are greatly increased over preindustrial levels and represent the highest atmospheric levels over the past 2000 years. The data also provide evidence of climate-related variability on centennial time-scales, with relative maxima at the peaks of Medieval Climate Anomaly and Little Ice Age. There is evidence for a long-term increasing trend in COS of 1.8 ppt per 100 years. Further ice core studies will be needed to determine whether this trend reflects secular variability in atmospheric COS, or a slow post-depositional chemical loss of COS in the ice core.</t>
  </si>
  <si>
    <t>[Aydin, M.; Williams, M. B.; Tatum, C.; Saltzman, E. S.] Univ Calif Irvine, Dept Earth Syst Sci, Irvine, CA 92717 USA</t>
  </si>
  <si>
    <t>University of California System; University of California Irvine</t>
  </si>
  <si>
    <t>Aydin, M (corresponding author), Univ Calif Irvine, Dept Earth Syst Sci, Irvine, CA 92717 USA.</t>
  </si>
  <si>
    <t>maydin@uci.edu</t>
  </si>
  <si>
    <t>National Science Foundation's Office of Polar Programs [OPP-0338359, OPP-0440602]; Comer Science and Education Foundation</t>
  </si>
  <si>
    <t>National Science Foundation's Office of Polar Programs(National Science Foundation (NSF)); Comer Science and Education Foundation</t>
  </si>
  <si>
    <t>This work was supported by the National Science Foundation's Office of Polar Programs (OPP-0338359, OPP-0440602) and the Comer Science and Education Foundation. We would like to thank Tony Gow and Debra Meese for layer counting data, and the National Ice Core Laboratory for assistance with ice core samples. We also would like to thank Andrew McMillan for helpful comments on the manuscript.</t>
  </si>
  <si>
    <t>10.5194/acp-8-7533-2008</t>
  </si>
  <si>
    <t>393YG</t>
  </si>
  <si>
    <t>WOS:000262411800016</t>
  </si>
  <si>
    <t>Shepherd, MG; Tsuda, T</t>
  </si>
  <si>
    <t>Shepherd, M. G.; Tsuda, T.</t>
  </si>
  <si>
    <t>Large-scale planetary disturbances in stratospheric temperature at high-latitudes in the southern summer hemisphere</t>
  </si>
  <si>
    <t>MODE ROSSBY WAVES; ASYNOPTIC SATELLITE-OBSERVATIONS; QUASI-BIENNIAL OSCILLATION; EASTWARD-TRAVELING WAVES; SPACE-TIME SPECTRA; NORTHERN-HEMISPHERE; KELVIN WAVES; MESOSPHERIC TEMPERATURE; INTERANNUAL VARIATIONS; 16-DAY OSCILLATION</t>
  </si>
  <si>
    <t>The global structure and propagation of large-scale (periods &gt;5 days) waves in the Southern Hemisphere summer (December 2006-February 2007) at 60 degrees S-75 degrees S latitude are examined using temperature data from GPS radio occultation measurements by COSMIC/FORMOSAT 3 satellite constellation at 20 km and 30 km altitude. Spectral analysis has revealed eastward propagating planetary scale perturbations with wavenumbers 1 and 2 and periods of 10, 16 and 23 days, and stationary waves with wavenumbers 1 and 2. The results obtained show a very dynamically active Antarctic summer stratosphere. The novel aspect of the work is in the use of the GPS COSMIC data providing multiple local times each day, thus allowing large-scale wave analysis at high Southern latitudes and revealing planetary wave activity not normally observed in summer, but more consistent with late winter and spring conditions in the stratosphere.</t>
  </si>
  <si>
    <t>[Shepherd, M. G.] York Univ, Ctr Res Earth &amp; Space Sci, Toronto, ON M3J 2R7, Canada; [Tsuda, T.] Kyoto Univ, Res Inst Sustainable Humanosphere, Kyoto, Japan</t>
  </si>
  <si>
    <t>York University - Canada; Kyoto University</t>
  </si>
  <si>
    <t>Shepherd, MG (corresponding author), York Univ, Ctr Res Earth &amp; Space Sci, Toronto, ON M3J 2R7, Canada.</t>
  </si>
  <si>
    <t>mshepher@yorku.ca</t>
  </si>
  <si>
    <t>tsuda, toshitaka/A-3035-2015; Tsuda, Toshitaka/GYJ-4925-2022</t>
  </si>
  <si>
    <t>Shepherd, Marianna/0000-0003-2731-8513</t>
  </si>
  <si>
    <t>Research Institute for Sustainable Humanosphere, Kyoto University</t>
  </si>
  <si>
    <t>M. S. would like to acknowledge the support of the Research Institute for Sustainable Humanosphere, Kyoto University, where she was a visiting professor. COSMIC data were obtained from the COSMIC Data Analysis and Archive Centre (CDAAC). M. S. thanks S. Alexander, D. Pancheva and P. Mukhtarov for helpful discussions.</t>
  </si>
  <si>
    <t>COPERNICUS PUBLICATIONS</t>
  </si>
  <si>
    <t>KATHLENBURG-LINDAU</t>
  </si>
  <si>
    <t>MAX-PLANCK-STR 13, KATHLENBURG-LINDAU, 37191, GERMANY</t>
  </si>
  <si>
    <t>10.5194/acp-8-7557-2008</t>
  </si>
  <si>
    <t>WOS:000262411800018</t>
  </si>
  <si>
    <t>Michaud, L; Lo Giudice, A; Caruso, C; Mangano, S; Bruni, V</t>
  </si>
  <si>
    <t>Michaud, Luigi; Lo Giudice, Angelina; Caruso, Consolazione; Mangano, Santina; Bruni, Vivia</t>
  </si>
  <si>
    <t>RESEARCH ON BIODIVERSITY OF BACTERIAL COMMUNITIES IN THE ANTARCTIC LAKES</t>
  </si>
  <si>
    <t>ATTI ACCADEMIA PELORITANA DEI PERICOLANTI-CLASSE DI SCIENZE FISICHE MATEMATICHE E NATURALI</t>
  </si>
  <si>
    <t>Italian</t>
  </si>
  <si>
    <t>The bacterial diversity in three Antarctic lakes located at Crater Cirque (CC), Inexpressible Island (INI) and Luther Peak (LH) in the Victoria Land was investigated by a combination of culture-dependent and culture-independent techniques. The in situ abundance of different bacterial groups was determined by fluorescent in situ hybridization (FISH), while bacterial diversity among the cultivable microflora was investigated by culturing and genetic fingerprinting. Differences in the composition of bacterial assemblages were observed among the lakes investigated, when using the two approaches reported above. Overall, the detection rate by FISH of DAPI-stained cells varied from 48.4% to 68.9% with the general bacterial probe EUB338. Bacteria hybridizing with the group-specific probe CF319a were found to be abundant in the three lakes. A total of 478 strains were isolated from R2A agar plates and grouped by restriction analysis technique; sequencing of representative 16S rDNAs was performed to elucidate the taxonomic positions of isolates. Overall, isolates were placed within five different taxa: gamma-Proteobacteria (39%), Bacteroidetes (35%), f beta-Proteobacteria (8%), Actinobacteria (7%) and ff -Proteobacteria (5%). Finally, the 5.8% of total isolates shared the highest degree of sequence identity with unclassified bacteria. Members of the gamma-Proteobacteria predominated at INI, whereas isolates from CC and LH mainly belonged to the Bacteroidetes. Among the gamma-Proteobacteria, the genus Pseudomonas was predominant, whereas Flavobacterium spp. were very common among the Bacteroidetes. Finally, several Actinobacteria were closely related to unknown Antarctic bacteria.</t>
  </si>
  <si>
    <t>[Michaud, Luigi; Lo Giudice, Angelina; Caruso, Consolazione; Mangano, Santina; Bruni, Vivia] Univ Messina, Dipartimento Biol Anim &amp; Ecol Marina, Salita Sperone 31, I-98166 Messina, Italy</t>
  </si>
  <si>
    <t>University of Messina</t>
  </si>
  <si>
    <t>Michaud, L (corresponding author), Univ Messina, Dipartimento Biol Anim &amp; Ecol Marina, Salita Sperone 31, I-98166 Messina, Italy.</t>
  </si>
  <si>
    <t>lmichaud@unime.it</t>
  </si>
  <si>
    <t>ACCAD PELORITANA PERICOLANTI</t>
  </si>
  <si>
    <t>MESSINA</t>
  </si>
  <si>
    <t>PIAZZA PUGLIATTI 1, MESSINA, 98122, ITALY</t>
  </si>
  <si>
    <t>0365-0359</t>
  </si>
  <si>
    <t>1825-1242</t>
  </si>
  <si>
    <t>ATTI ACCAD PELORIT</t>
  </si>
  <si>
    <t>Atti Accad. Pelorit. Pericol.</t>
  </si>
  <si>
    <t>C1A0802008</t>
  </si>
  <si>
    <t>10.1478/C1A0802008</t>
  </si>
  <si>
    <t>V0M5F</t>
  </si>
  <si>
    <t>WOS:000216363000008</t>
  </si>
  <si>
    <t>Janssen, V; Hurd, R</t>
  </si>
  <si>
    <t>Janssen, Volker; Hurd, Rachael</t>
  </si>
  <si>
    <t>Spatial Sciences on Ice: 50 years of Australian activities on the Amery Ice Shelf, East Antarctica</t>
  </si>
  <si>
    <t>AUSTRALIAN GEOGRAPHER</t>
  </si>
  <si>
    <t>Spatial sciences; climate change; conventional surveying; Global Positioning System (GPS); satellite remote sensing; Amery Ice Shelf; Antarctica</t>
  </si>
  <si>
    <t>SATELLITE-RADAR ALTIMETRY; DIGITAL ELEVATION MODELS; LAMBERT-GLACIER; MASS-BALANCE; SYSTEM; IMAGERY; SHEET; VELOCITY</t>
  </si>
  <si>
    <t>The Antarctic climate system involves many complex interactions between the atmosphere, oceans and ice and is sensitive to variations in these components. Ice shelves represent the ice-ocean-atmosphere interface of the Antarctic continent and are therefore very important indicators of climate change in the region. The Amery Ice Shelf is the largest ice shelf in East Antarctica and has been the focus of many scientific research projects over the past 50 years. This paper presents a history of the use of spatial science techniques from basic survey equipment to satellite systems in Australian research projects based on the Amery Ice Shelf (and surrounding glaciers) since 1955. The application of these spatial data to projects based primarily in the fields of geodesy, glaciology, climatology, and oceanography has allowed the measurement and monitoring of the physical, dynamic and environmental characteristics of this large and remote region. This new information provides scientists with a better understanding of the ice shelf/ocean/atmosphere system allowing future monitoring to observe the effects of global climate change.</t>
  </si>
  <si>
    <t>[Janssen, Volker] Univ Tasmania, Sch Geog &amp; Environm Studies, Hobart, Tas 7001, Australia</t>
  </si>
  <si>
    <t>University of Tasmania</t>
  </si>
  <si>
    <t>Janssen, V (corresponding author), Univ Tasmania, Sch Geog &amp; Environm Studies, Private Bag 76, Hobart, Tas 7001, Australia.</t>
  </si>
  <si>
    <t>Hurd, Rachael/0000-0002-9553-8246</t>
  </si>
  <si>
    <t>ROUTLEDGE JOURNALS, TAYLOR &amp; FRANCIS LTD</t>
  </si>
  <si>
    <t>4 PARK SQUARE, MILTON PARK, ABINGDON OX14 4RN, OXFORDSHIRE, ENGLAND</t>
  </si>
  <si>
    <t>0004-9182</t>
  </si>
  <si>
    <t>AUST GEOGR</t>
  </si>
  <si>
    <t>Aust. Geogr.</t>
  </si>
  <si>
    <t>PII 906005220</t>
  </si>
  <si>
    <t>10.1080/00049180802419245</t>
  </si>
  <si>
    <t>Geography</t>
  </si>
  <si>
    <t>Social Science Citation Index (SSCI)</t>
  </si>
  <si>
    <t>376NU</t>
  </si>
  <si>
    <t>Green Accepted, Green Submitted</t>
  </si>
  <si>
    <t>WOS:000261191100001</t>
  </si>
  <si>
    <t>Glikson, AY</t>
  </si>
  <si>
    <t>Glikson, A. Y.</t>
  </si>
  <si>
    <t>Milestones in the evolution of the atmosphere with reference to climate change</t>
  </si>
  <si>
    <t>AUSTRALIAN JOURNAL OF EARTH SCIENCES</t>
  </si>
  <si>
    <t>atmosphere; climate change; greenhouse; impact; mass extinction; volcanism</t>
  </si>
  <si>
    <t>SEA-LEVEL; IMPACT CLUSTERS; MASS-BALANCE; ICE-CORE; EXTINCTION; SUPERGROUP; OXYGEN; OCEAN</t>
  </si>
  <si>
    <t>The history of life on Earth is critically dependent on the carbon, sulfur and oxygen cycles of the lithosphere-hydrosphere-atmosphere-biosphere system. An Archean oxygen-poor greenhouse atmosphere developed through: (i) accumulation of CO2 and CH4 from episodic injections of CO2 from volcanic activity, volatilised crust impacted by asteroids and comets, metamorphic devolatilisation processes and release of methane from sediments; and (ii) little CO2 weathering-capture due to both high temperatures of the hydrosphere (low CO2 solubility) and a low ratio of exposed continents to oceans. In the wake of the Sturtian glaciation, enrichment in oxygen and appearance of multicellular eukaryotes heralded the onset of the Phanerozoic where greenhouse conditions were interrupted by periods of strong CO2-sequestration through intensified capture of CO2 by marine plants, onset of land plants and burial of carbonaceous shale and coal (Late Ordovician; Carboniferous-Permian; Late Jurassic; Late Tertiary-Quaternary). The progression from Late Mesozoic and Early Tertiary greenhouse conditions to Late Tertiary-Quaternary ice ages was related to the sequestration of CO2 by rapid weathering of the emerging Alpine and Himalayan mountain chains. A number of peak warming and sea-level-rise events include the Late Oligocene, mid-Miocene, mid-Pliocene and Pleistocene glacial terminations. The Late Tertiary-Quaternary ice ages were dominated by cyclic orbital-forcing-triggered terminations which involved CO2-feedback effects from warming seas and the biosphere and albedo flips due to ice-sheet melting. Since ca AD 1750 human emissions were similar to 305Gt of carbon, as compared with similar to 750Gt C in the atmosphere. The emissions constitute similar to 12% of the terrestrial biosphere and similar to 10% of the known global fossil fuel reserve of similar to 4000Gt C, whose combustion would compare to the similar to 4600Gt C released to the atmosphere during the K-T impact event 65 million years ago, with associated similar to 65% mass extinction of species. The current growth rate of atmospheric greenhouse gases and global mean temperatures exceed those of Pleistocene glacial terminations by one to two orders of magnitude. The relationship between temperatures and sea-levels for the last few million years project future sea-level rises toward time-averaged values of at least 5m per 1 degrees C. The instability of ice sheets suggested by the Dansgaard-Oeschinger glacial cycles during 50-20ka, observed ice melt lag effects of glacial terminations, spring ice collapse dynamics and the doubling per-decade of Greenland and west Antarctic ice melt suggest that the Intergovernmental Panel on Climate Change's projected sea-level rises (&lt; 59cm) for the 21st century may be exceeded. The biological and philosophical rationale underlying climate change and mass extinction perpetrated by an intelligent carbon-emitting mammal species may never be known.</t>
  </si>
  <si>
    <t>Australian Natl Univ, Dept Earth &amp; Marine Sci, Canberra, ACT 0200, Australia; [Glikson, A. Y.] Australian Natl Univ, Planetary Sci Inst, Canberra, ACT 0200, Australia</t>
  </si>
  <si>
    <t>Australian National University; Australian National University</t>
  </si>
  <si>
    <t>Glikson, AY (corresponding author), Australian Natl Univ, Dept Earth &amp; Marine Sci, Canberra, ACT 0200, Australia.</t>
  </si>
  <si>
    <t>andrew.glikson@anu.edu.au</t>
  </si>
  <si>
    <t>0812-0099</t>
  </si>
  <si>
    <t>1440-0952</t>
  </si>
  <si>
    <t>AUST J EARTH SCI</t>
  </si>
  <si>
    <t>Aust. J. Earth Sci.</t>
  </si>
  <si>
    <t>10.1080/08120090701689308</t>
  </si>
  <si>
    <t>265BO</t>
  </si>
  <si>
    <t>WOS:000253334300001</t>
  </si>
  <si>
    <t>Taylor, N</t>
  </si>
  <si>
    <t>Taylor, Neil</t>
  </si>
  <si>
    <t>Looking South - Australia's Antarctic Agenda</t>
  </si>
  <si>
    <t>AUSTRALIAN JOURNAL OF ENVIRONMENTAL EDUCATION</t>
  </si>
  <si>
    <t>Book Review</t>
  </si>
  <si>
    <t>[Taylor, Neil] Univ New England, Armidale, NSW, Australia</t>
  </si>
  <si>
    <t>University of New England</t>
  </si>
  <si>
    <t>Taylor, N (corresponding author), Univ New England, Armidale, NSW, Australia.</t>
  </si>
  <si>
    <t>CAMBRIDGE UNIV PRESS</t>
  </si>
  <si>
    <t>EDINBURGH BLDG, SHAFTESBURY RD, CB2 8RU CAMBRIDGE, ENGLAND</t>
  </si>
  <si>
    <t>0814-0626</t>
  </si>
  <si>
    <t>2049-775X</t>
  </si>
  <si>
    <t>AUST J ENVIRON EDUC</t>
  </si>
  <si>
    <t>Austr. J. Environ. Educ.</t>
  </si>
  <si>
    <t>10.1017/S0814062600000616</t>
  </si>
  <si>
    <t>Education &amp; Educational Research</t>
  </si>
  <si>
    <t>V56JV</t>
  </si>
  <si>
    <t>WOS:000210557400009</t>
  </si>
  <si>
    <t>Maier, MS</t>
  </si>
  <si>
    <t>UrRahman, A</t>
  </si>
  <si>
    <t>Maier, Marta S.</t>
  </si>
  <si>
    <t>BIOLOGICAL ACTIVITIES OF SULFATED GLYCOSIDES FROM ECHINODERMS</t>
  </si>
  <si>
    <t>BIOACTIVE NATURAL PRODUCTS (PT O), VOL 35</t>
  </si>
  <si>
    <t>Studies in Natural Products Chemistry</t>
  </si>
  <si>
    <t>STARFISH CERTONARDOA-SEMIREGULARIS; CYTOTOXIC TRITERPENE GLYCOSIDES; CUCUMBER CUCUMARIA-FRONDOSA; MARINE NATURAL-PRODUCTS; NEURITOGENIC STEROID GLYCOSIDES; MENSAMARIA-INTERCEDENS LAMPERT; STICHOPUS-JAPONICUS SELENKA; SEA-CUCUMBER; CULCITA-NOVAEGUINEAE; ANTARCTIC STARFISH</t>
  </si>
  <si>
    <t>The classes Asteroidea (starfishes) and Holothuroidea (sea cucumbers) belonging to the phylum Echinodermata are characterized by their content in toxic saponins. Asterosaponins from starfishes are sulfated steroidal glycosides whereas holothurins from sea cucumbers are triterpenoid glycosides with sulfate groups attached to the monosaccharide residues in sixty percent of the saponins isolated so far. Starfishes also contain steroidal mono- and diglycosides which occur as complex mixtures with asterosaponins. Due to their toxicity and membranotropic action, these polar compounds have attracted the attention of chemists and pharmacologists and a wide spectrum of biological activities has been found for these saponins. The purpose of this communication is to review the structural characteristics and biological properties of the saponins isolated from starfishes and sea cucumbers in the last five years, focusing on the structural elucidation and evaluation of antifungal, cytotoxic and antiviral properties of some examples of the author's laboratory isolated from starfishes and sea cucumbers collected near the Patagonian shore and Antarctica.</t>
  </si>
  <si>
    <t>Univ Buenos Aires, Fac Ciencias Exactas &amp; Nat, Dept Quim Organ, RA-1428 Buenos Aires, DF, Argentina</t>
  </si>
  <si>
    <t>University of Buenos Aires</t>
  </si>
  <si>
    <t>Maier, MS (corresponding author), Univ Buenos Aires, Fac Ciencias Exactas &amp; Nat, Dept Quim Organ, Pabellon 2, RA-1428 Buenos Aires, DF, Argentina.</t>
  </si>
  <si>
    <t>1572-5995</t>
  </si>
  <si>
    <t>978-0-08-056984-0</t>
  </si>
  <si>
    <t>STUD NAT PROD CHEM</t>
  </si>
  <si>
    <t>Stud. Nat. Prod. Chem.</t>
  </si>
  <si>
    <t>Chemistry, Medicinal</t>
  </si>
  <si>
    <t>Pharmacology &amp; Pharmacy</t>
  </si>
  <si>
    <t>BCW99</t>
  </si>
  <si>
    <t>WOS:000311805400007</t>
  </si>
  <si>
    <t>Vogt, M; Steinke, M; Turner, S; Paulino, A; Meyerhöfer, M; Riebesell, U; LeQuéré, C; Liss, P</t>
  </si>
  <si>
    <t>Vogt, M.; Steinke, M.; Turner, S.; Paulino, A.; Meyerhoefer, M.; Riebesell, U.; LeQuere, C.; Liss, P.</t>
  </si>
  <si>
    <t>Dynamics of dimethylsulphoniopropionate and dimethylsulphide under different CO2 concentrations during a mesocosm experiment</t>
  </si>
  <si>
    <t>BIOGEOSCIENCES</t>
  </si>
  <si>
    <t>DMSP LYASE ACTIVITY; EMILIANIA-HUXLEYI; DIMETHYLSULFONIOPROPIONATE DMSP; CHEMICAL DEFENSE; COCCOLITHOPHORID BLOOM; SULFIDE DMS; PHYTOPLANKTON; SULFUR; PHAEOCYSTIS; CULTURES</t>
  </si>
  <si>
    <t>The potential impact of seawater acidification on the concentrations of dimethylsulfide (DMS) and dimethylsulfoniopropionate (DMSP), and the activity of the enzyme DMSP-lyase was investigated during a pelagic ecosystem CO2 enrichment experiment (PeECE III) in spring 2005. Natural phytoplankton blooms were studied for 24 days under present, double and triple partial pressures of CO2 (pCO(2); pH=8.3, 8.0, 7.8) in triplicate 25 m(3) enclosures. The results indicate similar DMSP concentrations and DMSP-lyase activity (DLA) patterns for all treatments. Hence, DMSP and DLA do not seem to have been affected by the CO2 treatment. In contrast, DMS concentrations showed small but statistically significant differences in the temporal development of the low versus the high CO2 treatments. The low pCO(2) enclosures had higher DMS concentrations during the first 10 days, after which the levels decreased earlier and more rapidly than in the other treatments. Integrated over the whole study period, DMS concentrations were not significantly different from those of the double and triple pCO(2) treatments. Pigment and flow-cytometric data indicate that phytoplanktonic populations were generally similar between the treatments, suggesting a certain resilience of the marine ecosystem under study to the induced pH changes, which is reflected in DMSP and DLA. However, there were significant differences in bacterial community structure and the abundance of one group of viruses infecting nanoeukaryotic algae. The amount of DMS accumulated per total DMSP or chlorophyll-a differed significantly between the present and future scenarios, suggesting that the pathways for DMS production or bacterial DMS consumption were affected by seawater pH. A comparison with previous work (PeECE II) suggests that DMS concentrations do not respond consistently to pelagic ecosystem CO2 enrichment experiments.</t>
  </si>
  <si>
    <t>[Vogt, M.] Max Planck Inst Biogeochem, D-07701 Jena, Germany; [Vogt, M.; Steinke, M.; Turner, S.; LeQuere, C.; Liss, P.] Univ E Anglia, Sch Environm Sci, Lab Global Marine &amp; Atmospher Chem, Norwich NR4 7TJ, Norfolk, England; [Paulino, A.] Univ Bergen, Dept Biol, N-5020 Bergen, Norway; [LeQuere, C.; Liss, P.] British Antarctic Survey, Cambridge CB3 0ET, England; [Meyerhoefer, M.; Riebesell, U.] IFM GEOMAR, D-24120 Kiel, Germany</t>
  </si>
  <si>
    <t>Max Planck Society; University of East Anglia; University of Bergen; UK Research &amp; Innovation (UKRI); Natural Environment Research Council (NERC); NERC British Antarctic Survey; Helmholtz Association; GEOMAR Helmholtz Center for Ocean Research Kiel</t>
  </si>
  <si>
    <t>Vogt, M (corresponding author), Max Planck Inst Biogeochem, Postfach 100164, D-07701 Jena, Germany.</t>
  </si>
  <si>
    <t>m.vogt@uea.ac.uk</t>
  </si>
  <si>
    <t>Riebesell, Ulf/AAC-9717-2020; Vogt, Meike/I-7457-2017; LISS, Peter S./A-8219-2013; Steinke, Michael/A-6137-2012</t>
  </si>
  <si>
    <t>Steinke, Michael/0000-0001-6820-0154; Riebesell, Ulf/0000-0002-9442-452X; Vogt, Meike/0000-0002-0608-1935</t>
  </si>
  <si>
    <t>Natural Environment Research Council [bas010017] Funding Source: researchfish; NERC [bas010017] Funding Source: UKRI</t>
  </si>
  <si>
    <t>1726-4170</t>
  </si>
  <si>
    <t>1726-4189</t>
  </si>
  <si>
    <t>Biogeosciences</t>
  </si>
  <si>
    <t>10.5194/bg-5-407-2008</t>
  </si>
  <si>
    <t>Ecology; Geosciences, Multidisciplinary</t>
  </si>
  <si>
    <t>Environmental Sciences &amp; Ecology; Geology</t>
  </si>
  <si>
    <t>295YR</t>
  </si>
  <si>
    <t>WOS:000255511200009</t>
  </si>
  <si>
    <t>Moore, JK; Braucher, O</t>
  </si>
  <si>
    <t>Moore, J. K.; Braucher, O.</t>
  </si>
  <si>
    <t>Sedimentary and mineral dust sources of dissolved iron to the world ocean</t>
  </si>
  <si>
    <t>ANTARCTIC CIRCUMPOLAR CURRENT; EQUATORIAL PACIFIC-OCEAN; NATURAL ORGANIC-LIGANDS; SURFACE WATERS; TRACE-METALS; ENRICHMENT EXPERIMENT; PHYTOPLANKTON GROWTH; NITROGEN-FIXATION; KERGUELEN-ISLANDS; ECOSYSTEM MODEL</t>
  </si>
  <si>
    <t>Analysis of a global compilation of dissolved-iron observations provides insights into the processes controlling iron distributions and some constraints for ocean biogeochemical models. The distribution of dissolved iron appears consistent with the conceptual model developed for Th isotopes, whereby particle scavenging is a two-step process of scavenging mainly by colloidal and small particulates, followed by aggregation and removal on larger sinking particles. Much of the dissolved iron (&lt; 0.4 mu m) is present as small colloids (&gt;similar to 0.02 mu m) and, thus, is subject to aggregation and scavenging removal. This implies distinct scavenging regimes for dissolved iron consistent with the observations: 1) a high scavenging regime - where dissolved-iron concentrations exceed the concentrations of strongly binding organic ligands; and 2) a moderate scavenging regime where dissolved iron is bound to both colloidal and soluble ligands. Within the moderate scavenging regime, biological uptake and particle scavenging decrease surface iron concentrations to low levels (&lt; 0.2 nM) over a wide range of low to moderate iron input levels. Removal rates are also highly nonlinear in areas with higher iron inputs. Thus, observed surface-iron concentrations exhibit a bi-modal distribution and are a poor proxy for iron input rates. Our results suggest that there is substantial removal of dissolved iron from subsurface waters ( where iron concentrations are often well below 0.6 nM), most likely due to aggregation and removal on sinking particles of Fe bound to organic colloids. We use the observational database to improve simulation of the iron cycle within a global-scale, Biogeochemical Elemental Cycling (BEC) ocean model. Modifications to the model include: 1) an improved particle scavenging parameterization, based on the sinking mass flux of particulate organic material, biogenic silica, calcium carbonate, and mineral dust particles; 2) desorption of dissolved iron from sinking particles; and 3) an improved sedimentary source for dissolved iron. Most scavenged iron (90%) is put on sinking particles to remineralize deeper in the water column. The model-observation differences are reduced with these modifications. The improved BEC model is used to examine the relative contributions of mineral dust and marine sediments in driving dissolved-iron distributions and marine biogeochemistry. Mineral dust and sedimentary sources of iron contribute roughly equally, on average, to dissolved iron concentrations. The sedimentary source from the continental margins has a strong impact on open-ocean iron concentrations, particularly in the North Pacific. Plumes of elevated dissolved-iron concentrations develop at depth in the Southern Ocean, extending from source regions in the SW Atlantic and around New Zealand. The lower particle flux and weaker scavenging in the Southern Ocean allows the continental iron source to be advected far from sources. Both the margin sediment and mineral dust Fe sources substantially influence global-scale primary production, export production, and nitrogen fixation, with a stronger role for the dust source. Ocean biogeochemical models that do not include the sedimentary source for dissolved iron, will overestimate the impact of dust deposition variations on the marine carbon cycle. Available iron observations place some strong constraints on ocean biogeochemical models. Model results should be evaluated against both surface and subsurface Fe observations in the waters that supply dissolved iron to the euphotic zone.</t>
  </si>
  <si>
    <t>[Moore, J. K.; Braucher, O.] Univ Calif Irvine, Dept Earth Syst Sci, Irvine, CA 92697 USA; [Braucher, O.] Humboldt State Univ, Arcata, CA 95521 USA</t>
  </si>
  <si>
    <t>University of California System; University of California Irvine; California State University System; California State Polytechnic University, Humboldt</t>
  </si>
  <si>
    <t>Moore, JK (corresponding author), Univ Calif Irvine, Dept Earth Syst Sci, Irvine, CA 92697 USA.</t>
  </si>
  <si>
    <t>jkmoore@uci.edu</t>
  </si>
  <si>
    <t>10.5194/bg-5-631-2008</t>
  </si>
  <si>
    <t>321KK</t>
  </si>
  <si>
    <t>WOS:000257303400001</t>
  </si>
  <si>
    <t>Junge, K; Swanson, BD</t>
  </si>
  <si>
    <t>Junge, K.; Swanson, B. D.</t>
  </si>
  <si>
    <t>High-resolution ice nucleation spectra of sea-ice bacteria: implications for cloud formation and life in frozen environments</t>
  </si>
  <si>
    <t>AIRBORNE BACTERIA; SP. NOV; NUCLEI; DROPLETS; DIVERSITY; WATER; TO-20-DEGREES-C; MICROORGANISMS; ASSOCIATION; TEMPERATURE</t>
  </si>
  <si>
    <t>Even though studies of Arctic ice forming particles suggest that a bacterial or viral source derived from open leads could be important for ice formation in Arctic clouds (Bigg and Leck, 2001), the ice nucleation potential of most polar marine psychrophiles or viruses has not been examined under conditions more closely resembling those in the atmosphere. In this paper, we examined the ice nucleation activity (INA) of several representative Arctic and Antarctic sea-ice bacterial isolates and a polar Colwellia phage virus. High-resolution ice nucleation spectra were obtained for droplets containing bacterial cells or virus particles using a free-fall freezing tube technique. The fraction of frozen droplets at a particular droplet temperature was determined by measuring the depolarized light scattering intensity from solution droplets in free-fall. Our experiments revealed that all sea-ice isolates and the virus nucleated ice at temperatures very close to the homogeneous nucleation temperature for the nucleation medium - which for artificial seawater was 42.2 +/- 0.3 degrees C. Our results suggest that immersion freezing of these marine psychro-active bacteria and viruses would not be important for heterogeneous ice nucleation processes in polar clouds or to the formation of sea ice. These results also suggested that avoidance of ice formation in close proximity to cell surfaces might be one of the cold-adaptation and survival strategies for sea-ice bacteria. The fact that INA occurs at such low temperature could constitute one factor that explains the persistence of metabolic activities at temperatures far below the freezing point of seawater.</t>
  </si>
  <si>
    <t>[Junge, K.] Univ Washington, Appl Phys Lab, Polar Sci Ctr, Seattle, WA 98195 USA; [Swanson, B. D.] Laucks Fdn Inc, Bellevue, WA 98004 USA</t>
  </si>
  <si>
    <t>University of Washington; University of Washington Seattle</t>
  </si>
  <si>
    <t>Junge, K (corresponding author), Univ Washington, Appl Phys Lab, Polar Sci Ctr, Mail Box 355640,Henderson Hall 1013 NE 40th St, Seattle, WA 98195 USA.</t>
  </si>
  <si>
    <t>kjunge@apl.washington.edu</t>
  </si>
  <si>
    <t>Junge, Karen/0000-0003-4385-3735</t>
  </si>
  <si>
    <t>Division Of Polar Programs; Directorate For Geosciences [0801392] Funding Source: National Science Foundation</t>
  </si>
  <si>
    <t>Division Of Polar Programs; Directorate For Geosciences(National Science Foundation (NSF)NSF - Directorate for Geosciences (GEO))</t>
  </si>
  <si>
    <t>10.5194/bg-5-865-2008</t>
  </si>
  <si>
    <t>WOS:000257303400017</t>
  </si>
  <si>
    <t>Wang, G; Feng, X; Han, J; Zhou, L; Tan, W; Su, F</t>
  </si>
  <si>
    <t>Wang, G.; Feng, X.; Han, J.; Zhou, L.; Tan, W.; Su, F.</t>
  </si>
  <si>
    <t>Paleovegetation reconstruction using δ13C of Soil Organic Matter</t>
  </si>
  <si>
    <t>CARBON-ISOTOPE RATIOS; CHINESE LOESS PLATEAU; WATER-USE EFFICIENCY; RAINFALL GRADIENT; ATMOSPHERIC CO2; NATURAL-ABUNDANCE; C-13/C-12 RATIOS; ANTARCTIC ICE; C-4 GRASSES; PLANTS</t>
  </si>
  <si>
    <t>The relative contributions of C-3 and C-4 plants to vegetation at a given locality may be estimated by means of delta C-13 of soil organic matter. This approach holds a great potential for paleoecological reconstruction using paleosols. However, two main uncertainties exist, which limits the accuracy of this application. One is C-13-enrichment as the plant carbon becomes incorporated into soil organic matter. The other is due to environmental influences on delta C-13 of plants. Two types of data were collected and analyzed with an objective of narrowing the error of paleovegetation reconstruction. First, we investigated delta C-13 variations of 557 C-3 and 136 C-4 plants along a precipitation gradient in North China. A strong negative correlation is found between the delta C-13 value of C-3 plants averaged for each site and the annual precipitation with a coefficient of -0.40 parts per thousand/100mm, while no significant coefficients were found for C-4 plants. Second, we measured delta C-13 of soil organic matters for 14 soil profiles at three sites. The isotopic difference between vegetation and soil organic matter are evaluated to be 1.8 parts per thousand for the surface soil and 2.8 parts per thousand for the soil at the bottom of soil profiles. We conducted a sample reconstruction of paleovegetation at the central Chinese Loess Plateau during the Holocene and the Last Glacial (LG), and conclude that, without corrections for C-13-enrichment by decomposition, the C-4 abundance would be overestimated. The importance and uncertainties of other corrections are also discussed.</t>
  </si>
  <si>
    <t>[Wang, G.; Tan, W.; Su, F.] China Agr Univ, Coll Resources &amp; Environm, Minist Educ, Key Lab Plant Soil Interact, Beijing 100094, Peoples R China; [Feng, X.] Dartmouth Coll, Dept Earth Sci, Hanover, NH 03755 USA; [Han, J.] Chinese Acad Sci, Inst Geol &amp; Geophys, Beijing 100029, Peoples R China; [Zhou, L.] Peking Univ, Coll Environm Sci, MOE Lab Earth Surface Proc, Beijing 100871, Peoples R China</t>
  </si>
  <si>
    <t>China Agricultural University; Dartmouth College; Chinese Academy of Sciences; Institute of Geology &amp; Geophysics, CAS; Peking University</t>
  </si>
  <si>
    <t>Wang, G (corresponding author), China Agr Univ, Coll Resources &amp; Environm, Minist Educ, Key Lab Plant Soil Interact, Beijing 100094, Peoples R China.</t>
  </si>
  <si>
    <t>gawang@cau.edu.cn</t>
  </si>
  <si>
    <t>Wang, Guoan/0000-0002-8088-084X; Zhou, Liping/0000-0002-3332-2343</t>
  </si>
  <si>
    <t>National Natural Science Foundation of China [40673017]; Program for Changjiang Scholars; Innovative Research Team in University [IRT0511]</t>
  </si>
  <si>
    <t>National Natural Science Foundation of China(National Natural Science Foundation of China (NSFC)); Program for Changjiang Scholars(Program for Changjiang Scholars &amp; Innovative Research Team in University (PCSIRT)); Innovative Research Team in University(Program for Changjiang Scholars &amp; Innovative Research Team in University (PCSIRT))</t>
  </si>
  <si>
    <t>This research was supported by grants from the National Natural Science Foundation of China (Grant No. 40673017) and the Program for Changjiang Scholars and Innovative Research Team in University (No. IRT0511). We would like to thank M. Yan for analyzing stable carbon isotope ratios in the Isotope Lab at the College of Resources and Environment, China Agricultural University. The manuscript has benefited significantly from comments of two anonymous reviewers.</t>
  </si>
  <si>
    <t>10.5194/bg-5-1325-2008</t>
  </si>
  <si>
    <t>360LT</t>
  </si>
  <si>
    <t>WOS:000260059700010</t>
  </si>
  <si>
    <t>Raupach, MR; Canadell, JG; Le Quére, C</t>
  </si>
  <si>
    <t>Raupach, M. R.; Canadell, J. G.; Le Quere, C.</t>
  </si>
  <si>
    <t>Anthropogenic and biophysical contributions to increasing atmospheric CO2 growth rate and airborne fraction</t>
  </si>
  <si>
    <t>CARBON-CYCLE; CLIMATE; FOREST; EMISSIONS; DIOXIDE</t>
  </si>
  <si>
    <t>We quantify the relative roles of natural and anthropogenic influences on the growth rate of atmospheric CO2 and the CO2 airborne fraction, considering both interdecadal trends and interannual variability. A combined ENSO-Volcanic Index (EVI) relates most (similar to 75%) of the interannual variability in CO2 growth rate to the El-Nino-Southern-Oscillation (ENSO) climate mode and volcanic activity. Analysis of several CO2 data sets with removal of the EVI-correlated component confirms a previous finding of a detectable increasing trend in CO2 airborne fraction (defined using total anthropogenic emissions including fossil fuels and land use change) over the period 1959-2006, at a proportional growth rate 0.24% y(-1) with probability similar to 0.9 of a positive trend. This implies that the atmospheric CO2 growth rate increased slightly faster than total anthropogenic CO2 emissions. To assess the combined roles of the biophysical and anthropogenic drivers of atmospheric CO2 growth, the increase in the CO2 growth rate (1.9% y(-1) over 1959-2006) is expressed as the sum of the growth rates of four global driving factors: population (contributing + 1.7% y(-1)); per capita income (+ 1.8% y(-1)); the total carbon intensity of the global economy (-1.7% y(-1)); and airborne fraction (averaging + 0.2% y(-1) with strong interannual variability). The first three of these factors, the anthropogenic drivers, have therefore dominated the last, biophysical driver as contributors to accelerating CO2 growth. Together, the recent (post-2000) increase in growth of per capita income and decline in the negative growth (improvement) in the carbon intensity of the economy will drive a significant further acceleration in the CO2 growth rate over coming decades, unless these recent trends reverse.</t>
  </si>
  <si>
    <t>[Raupach, M. R.; Canadell, J. G.] CSIRO Marine &amp; Atmospher Res, Global Carbon Project, Canberra, ACT, Australia; [Le Quere, C.] Univ E Anglia, Sch Environm Sci, Norwich NR4 7TJ, Norfolk, England; [Le Quere, C.] British Antarctic Survey, Cambridge CB3 0ET, England</t>
  </si>
  <si>
    <t>Commonwealth Scientific &amp; Industrial Research Organisation (CSIRO); University of East Anglia; UK Research &amp; Innovation (UKRI); Natural Environment Research Council (NERC); NERC British Antarctic Survey</t>
  </si>
  <si>
    <t>Raupach, MR (corresponding author), CSIRO Marine &amp; Atmospher Res, Global Carbon Project, Canberra, ACT, Australia.</t>
  </si>
  <si>
    <t>michael.raupach@csiro.au</t>
  </si>
  <si>
    <t>Le Quéré, Corinne/C-2631-2017; Canadell, Pep/E-9419-2010</t>
  </si>
  <si>
    <t>Le Quéré, Corinne/0000-0003-2319-0452; Canadell, Pep/0000-0002-8788-3218</t>
  </si>
  <si>
    <t>Australian Climate Change Science Program; Natural Environment Research Council [bas010013] Funding Source: researchfish; NERC [bas010013] Funding Source: UKRI</t>
  </si>
  <si>
    <t>Australian Climate Change Science Program; Natural Environment Research Council(UK Research &amp; Innovation (UKRI)Natural Environment Research Council (NERC)); NERC(UK Research &amp; Innovation (UKRI)Natural Environment Research Council (NERC))</t>
  </si>
  <si>
    <t>This work was undertaken by the Global Carbon Project (GCP, www.globalcarbonproject.org) of the Earth System Science Partnership (www.essp.org). Support for the GCP from the Australian Climate Change Science Program is acknowledged with appreciation. We gratefully acknowledge the teams from both the Scripps Institution of Oceanography and NOAA- ESRL, who have publicly released the CO2 records without which this work would not have been possible. We thank P. Briggs for help with preparation of figures.</t>
  </si>
  <si>
    <t>10.5194/bg-5-1601-2008</t>
  </si>
  <si>
    <t>393XZ</t>
  </si>
  <si>
    <t>WOS:000262411100010</t>
  </si>
  <si>
    <t>Thomas, DN</t>
  </si>
  <si>
    <t>Thomas, DN; Fogg, GE; Convey, P; Fritsen, CH; Gili, JM; Gradinger, R; LaybournParry, J; Reid, K; Walton, DWH</t>
  </si>
  <si>
    <t>Thomas, David N.</t>
  </si>
  <si>
    <t>The Biology of Polar Regions Preface</t>
  </si>
  <si>
    <t>BIOLOGY OF POLAR REGIONS</t>
  </si>
  <si>
    <t>Biology of Habitats</t>
  </si>
  <si>
    <t>Editorial Material; Book Chapter</t>
  </si>
  <si>
    <t>ANTARCTIC SEA-ICE; MCMURDO DRY VALLEYS; KRILL EUPHAUSIA-SUPERBA; EASTERN WEDDELL SEA; SOUTH SANDWICH ISLANDS; INDUCED DNA-DAMAGE; HIGH ARCTIC LAKES; CLIMATE-CHANGE; ORGANIC-MATTER; UV-RADIATION</t>
  </si>
  <si>
    <t>Bangor Univ, Bangor, Gwynedd, Wales</t>
  </si>
  <si>
    <t>Bangor University</t>
  </si>
  <si>
    <t>Thomas, DN (corresponding author), Bangor Univ, Bangor, Gwynedd, Wales.</t>
  </si>
  <si>
    <t>Thomas, David Neville/B-1448-2010</t>
  </si>
  <si>
    <t>Thomas, David Neville/0000-0001-8832-5907</t>
  </si>
  <si>
    <t>OXFORD UNIV PRESS</t>
  </si>
  <si>
    <t>198 MADISON AVENUE, NEW YORK, NY 10016 USA</t>
  </si>
  <si>
    <t>978-0-19-929813-6; 978-0-19-171164-0; 978-0-19-929811-2</t>
  </si>
  <si>
    <t>BIO HABIT</t>
  </si>
  <si>
    <t>VII</t>
  </si>
  <si>
    <t>10.1093/acprof:oso/9780199298112.001.0001</t>
  </si>
  <si>
    <t>Biology; Ecology</t>
  </si>
  <si>
    <t>Life Sciences &amp; Biomedicine - Other Topics; Environmental Sciences &amp; Ecology</t>
  </si>
  <si>
    <t>BC5MH</t>
  </si>
  <si>
    <t>WOS:000353389100001</t>
  </si>
  <si>
    <t>Wu, ZQ; Jiang, GL; Xiang, P; Yang, D; Wang, N</t>
  </si>
  <si>
    <t>Wu, Zhiqiang; Jiang, Guoliang; Xiang, Peng; Yang, Dong; Wang, Ning</t>
  </si>
  <si>
    <t>Purification and characterization of trypsin-like enzymes from North Pacific krill (Euphausia pacifica)</t>
  </si>
  <si>
    <t>BIOTECHNOLOGY LETTERS</t>
  </si>
  <si>
    <t>amino acid composition; Euphausia pacifica; physiological efficiency; stability; trypsin-like enzyme</t>
  </si>
  <si>
    <t>ANTARCTIC KRILL; PROTEOME; SUPERBA</t>
  </si>
  <si>
    <t>Two trypsin-like enzymes (TLEs) were purified from North Pacific krill (Euphausia pacifica) by ammonium sulfate precipitation, ion-exchange and gel-filtration chromatography. The purified enzymes were identified as trypsins by LC-ESI-MS/MS analysis. The relative molecular mass of TLE I and TLE II were 33 and 32.3 kDa, respectively, with isoelectric points of 4.5 and 4.3, respectively. The TLEs showed excellent thermal stable in the crude extract and the purified TLEs were active over a wide pH (6.0-11.0) and temperature (10-70 degrees C) range. Compared with trypsins from other organisms, the purified TLEs had physiological efficiencies of 1.6-6.7-fold. The difference in Arg, Ile and Asp content might explain why E. pacifica TLEs have good thermal stability and physiological efficiency.</t>
  </si>
  <si>
    <t>Ocean Univ China, Coll Marine Life Sci, Qingdao 266003, Peoples R China</t>
  </si>
  <si>
    <t>Ocean University of China</t>
  </si>
  <si>
    <t>Jiang, GL (corresponding author), Ocean Univ China, Coll Marine Life Sci, Qingdao 266003, Peoples R China.</t>
  </si>
  <si>
    <t>gljiang@ouc.edu.cn</t>
  </si>
  <si>
    <t>Liu, Kai/IST-6808-2023; Wang, zijun/JNS-5435-2023; wu, zhi/GXH-3041-2022; Jiang, Guo/ISR-9858-2023</t>
  </si>
  <si>
    <t>WANG, NING/0000-0002-2663-7515</t>
  </si>
  <si>
    <t>VAN GODEWIJCKSTRAAT 30, 3311 GZ DORDRECHT, NETHERLANDS</t>
  </si>
  <si>
    <t>0141-5492</t>
  </si>
  <si>
    <t>BIOTECHNOL LETT</t>
  </si>
  <si>
    <t>Biotechnol. Lett.</t>
  </si>
  <si>
    <t>10.1007/s10529-007-9511-6</t>
  </si>
  <si>
    <t>Biotechnology &amp; Applied Microbiology</t>
  </si>
  <si>
    <t>236MQ</t>
  </si>
  <si>
    <t>WOS:000251307500010</t>
  </si>
  <si>
    <t>Mayer, M; Knöpfler, A</t>
  </si>
  <si>
    <t>Mayer, Michael; Knoepfler, Andreas</t>
  </si>
  <si>
    <t>RECENT DEFORMATION ANALYSIS PROJECTS OF THE GEODETIC INSTITUTE OF THE UNIVERSITY KARLSRUHE (TH)</t>
  </si>
  <si>
    <t>BOLETIM DE CIENCIAS GEODESICAS</t>
  </si>
  <si>
    <t>Research projects of the GIK; Deformation Analysis; GPS measurements</t>
  </si>
  <si>
    <t>RHINE GRABEN AREA; GPS; DISPLACEMENTS</t>
  </si>
  <si>
    <t>Within the framework of the project-related exchange program ProBrAl founded by the German academic exchange service DAAD the German researchers Michael Mayer and Andreas Knopfler, both members of the Geodetic Institute of the University Karlsruhe ( TH), gave an overview of two actually running research projects, which are using GPS measurements collected within observation campaigns in order to detect highly precise deformation rates. These two interdisciplinary projects are analysing the tectonic behaviour of the Earth's surface in the highly active regions Antarctic Peninsula and Romanian Vrancea basin. Besides the data basis and the specific scientific goals, recent results were presented.</t>
  </si>
  <si>
    <t>[Mayer, Michael; Knoepfler, Andreas] Univ Karlsruhe TH, Geodet Inst, D-76131 Karlsruhe, Germany</t>
  </si>
  <si>
    <t>Helmholtz Association; Karlsruhe Institute of Technology</t>
  </si>
  <si>
    <t>Mayer, M (corresponding author), Univ Karlsruhe TH, Geodet Inst, Englerstr 7, D-76131 Karlsruhe, Germany.</t>
  </si>
  <si>
    <t>mmayer@gik.uni-karlsruhe.de; knoepfler@gik.uni-karlsruhe.de</t>
  </si>
  <si>
    <t>DAAD (German Academic Exchange Service)</t>
  </si>
  <si>
    <t>DAAD (German Academic Exchange Service)(Deutscher Akademischer Austausch Dienst (DAAD))</t>
  </si>
  <si>
    <t>The authors would like to thank DAAD (German Academic Exchange Service) for the financial support in the framework of the project PROBRAL: Hochgenaue Positions- und Hohenbestimmung mit GPS: Modellierung von Fehlern und Transformation in Gebrauchshohen.</t>
  </si>
  <si>
    <t>UNIV FEDERAL PARANA, CENTRO POLITECNICO</t>
  </si>
  <si>
    <t>CURITIBA PR</t>
  </si>
  <si>
    <t>UFPR CENTRO POLITECNICO, CURSO POS-GRADUACAO CIENCIAS GEODESICAS, JARDIM AMERICAS CAIXA POSTAL 19001, CURITIBA PR, CEP81531-980, BRAZIL</t>
  </si>
  <si>
    <t>1413-4853</t>
  </si>
  <si>
    <t>BOL CIENC GEOD</t>
  </si>
  <si>
    <t>Bol. Cienc. Geod.</t>
  </si>
  <si>
    <t>Geochemistry &amp; Geophysics; Remote Sensing</t>
  </si>
  <si>
    <t>368MO</t>
  </si>
  <si>
    <t>WOS:000260625400001</t>
  </si>
  <si>
    <t>Schwamborn, G; Fedorov, G; Schirrmeister, L; Meyer, H; Hubberten, HW</t>
  </si>
  <si>
    <t>Schwamborn, Georg; Fedorov, Grigory; Schirrmeister, Lutz; Meyer, Hanno; Hubberten, Hans-W.</t>
  </si>
  <si>
    <t>Periglacial sediment variations controlled by late Quaternary climate and lake level change at Elgygytgyn Crater, Arctic Siberia</t>
  </si>
  <si>
    <t>BOREAS</t>
  </si>
  <si>
    <t>BERING LAND-BRIDGE; IMPACT CRATER; CORE PG1351; GROUND ICE; PERMAFROST; WESTERN; GEOCHEMISTRY; CHUKOTKA; REGION; AGE</t>
  </si>
  <si>
    <t>Late Quaternary sediments in a permafrost environment recovered from the Elgygytgyn Impact Crater were studied to determine regional palaeoenvironmental variability and infer past water-level changes of the crater lake. Stratigraphic analysis of a 5m long permafrost core is based on various lithological ( grain size, total organic carbon, magnetic susceptibility) and hydrochemical ( oxygen isotope composition, major cation content) properties and pore ice content. The results show that alluvial sediments accumulated on top of cryogenically weathered volcanic rock. Changes in the hydrochemical properties reject different stages of cryogenic weathering. The lithological characteristics mark the transition from an erosive site to a site with accumulation. This environmental change is linked to a relative lake level highstand at &gt; 13 000 yr BP, when a shoreline bar was formed leading to slope sedimentation. Lake level dropped by 4m during the Holocene.</t>
  </si>
  <si>
    <t>[Schwamborn, Georg; Schirrmeister, Lutz; Meyer, Hanno; Hubberten, Hans-W.] Alfred Wegener Inst Polar &amp; Marine Res, D-14473 Potsdam, Germany; [Fedorov, Grigory] Arctic &amp; Antarctic Res Inst, St Petersburg 199397, Russia</t>
  </si>
  <si>
    <t>Helmholtz Association; Alfred Wegener Institute, Helmholtz Centre for Polar &amp; Marine Research; Arctic &amp; Antarctic Research Institute</t>
  </si>
  <si>
    <t>Schwamborn, G (corresponding author), Alfred Wegener Inst Polar &amp; Marine Res, D-14473 Potsdam, Germany.</t>
  </si>
  <si>
    <t>Georg.Schwamborn@awi.de</t>
  </si>
  <si>
    <t>Schirrmeister, Lutz/AGW-0545-2022; Meyer, Hanno/AAQ-4260-2021; Schwamborn, Georg Johannes/ABC-9636-2020; Fedorov, Grigory/N-3444-2013; Fedorov, Grigory/N-5788-2019; Schirrmeister, Lutz/O-5584-2015</t>
  </si>
  <si>
    <t>Schirrmeister, Lutz/0000-0001-9455-0596; Meyer, Hanno/0000-0003-4129-4706; Schwamborn, Georg Johannes/0000-0001-9635-0539; Fedorov, Grigory/0000-0003-2269-4501; Fedorov, Grigory/0000-0003-2269-4501; Schirrmeister, Lutz/0000-0001-9455-0596</t>
  </si>
  <si>
    <t>0300-9483</t>
  </si>
  <si>
    <t>1502-3885</t>
  </si>
  <si>
    <t>Boreas</t>
  </si>
  <si>
    <t>10.1111/j.1502-3885.2007.00011.x</t>
  </si>
  <si>
    <t>Geography, Physical; Geosciences, Multidisciplinary</t>
  </si>
  <si>
    <t>Physical Geography; Geology</t>
  </si>
  <si>
    <t>251SA</t>
  </si>
  <si>
    <t>WOS:000252393000004</t>
  </si>
  <si>
    <t>MacKinnon, DI; Long, SL; Owen, EF</t>
  </si>
  <si>
    <t>Harper, DAT; Long, SL</t>
  </si>
  <si>
    <t>MacKinnon, David I.; Long, Sarah L.; Owen, Ellis F.</t>
  </si>
  <si>
    <t>New observations on loop morphology and systematic revision of the Antarctic Eocene Brachiopods 'Laqueus' cockburnensis Owen, 1980 and Laquethiris curiosa Bitner, 1996</t>
  </si>
  <si>
    <t>BRACHIOPODA: FOSSIL AND RECENT</t>
  </si>
  <si>
    <t>Fossils and Strata</t>
  </si>
  <si>
    <t>Re-investigation of the type collection of 'Laqueus' cockburnensis from Cockburn Island, Antarctic Peninsula, has revealed the existence of remnants of both lateral and mediovertical connecting bands on the dorsal median septum of the holotype which provide new evidence of an adult bilacunar loop, typical of representatives of the family Kingenidae. Attention is drawn to the strong similarity of the reconstructed loop of 'L.' cockburnensis to the penultimate loop phase in the only known modern-day kingenid Ecnomiosa Cooper. Comparison of the newly discovered septal structure in 'L.' cockburnensis with the published illustrations of Laquethiris curiosa Bitner, from the Eocene La Meseta Formation, Seymour Island, shows a virtually identical septal complexity (and bilacunar loop), prompting synonymizing of the former with the latter and reassignment of Laquethiris to the subfamily Kingeninae Elliott, 1948. Antarctic Peninsula, Brachiopoda, Cockburn Island, Kingeninae, Laquethiris, La Meseta Formation, loop morphology, Seymour Island.</t>
  </si>
  <si>
    <t>[MacKinnon, David I.] Univ Canterbury, Dept Geol Sci, Christchurch 8020, New Zealand; [Long, Sarah L.; Owen, Ellis F.] Nat Hist Museum, Dept Palaeontol, London SW7 5BD, England</t>
  </si>
  <si>
    <t>University of Canterbury; Natural History Museum London</t>
  </si>
  <si>
    <t>MacKinnon, DI (corresponding author), Univ Canterbury, Dept Geol Sci, Private Bag 4800, Christchurch 8020, New Zealand.</t>
  </si>
  <si>
    <t>dave.mackinnon@canterbury.ac.nz; S.Long@nhm.ac.uk</t>
  </si>
  <si>
    <t>Long, Sarah/JNR-9431-2023</t>
  </si>
  <si>
    <t>CHICHESTER</t>
  </si>
  <si>
    <t>THE ATRIUM, SOUTHERN GATE, CHICHESTER, WEST SUSSEX PO19 8SQ, ENGLAND</t>
  </si>
  <si>
    <t>0300-9491</t>
  </si>
  <si>
    <t>978-1-4051-8664-3</t>
  </si>
  <si>
    <t>FOSS STRATA</t>
  </si>
  <si>
    <t>Foss. Strata</t>
  </si>
  <si>
    <t>BCO44</t>
  </si>
  <si>
    <t>WOS:000310856900022</t>
  </si>
  <si>
    <t>Komitov, B</t>
  </si>
  <si>
    <t>Komitov, Boris</t>
  </si>
  <si>
    <t>The Sun - climate relationship. I. The sunspots and the climate</t>
  </si>
  <si>
    <t>BULGARIAN ASTRONOMICAL JOURNAL</t>
  </si>
  <si>
    <t>Sun; solar-climatic relationship</t>
  </si>
  <si>
    <t>SPECTRAL IRRADIANCE; SOLAR; CYCLE; TEMPERATURES; PERIODICITY</t>
  </si>
  <si>
    <t>We investigate the problem about the reason for the significant sub-centurial (50-55 and 60-65 yr) and quasi-centurial (120-130 yr) climatic oscillations. The 50-55 and 60-65 yr cycles are clearly detectable in numerous global and regional climatic parameters, i.e. in the temperatures of the Northern Hemisphere and World Ocean surface, in the tree rings widths, in the atmosphere concentration of CO2, etc. Searching for analogues of these cycles in the solar activity we study the connections between various types of solar, geophysical and climatic cycles. In this Paper I we analyze time series of residual variations of the Northern Hemisphere (AD 1610-1979) and World Ocean surface (AD 1856 - 1995) temperatures in respect to the corresponding regression models sunspot activity - temperature. We use the Group Sunspot Number (GSN) as sunspot activity proxy and confirm the existence of well pronounced 50-55, 60-67 and approximate to 118 yr cycles in the solar activity and temperature variations. In Paper II we will show the existence of powerful 60 65 yr cycle in the middle latitudes auroras and sub-centurial variations in the concentration of the Greenland and Antarctic cosmogenic Be-10. In Paper III we will summarize the evidences that the reason of these climatic oscillations are probably processes occurring in the solar corona. Unlike the overall solar activity and the total solar irradiance variations, the high level of these processes leads to a climate cooling, while their low levels correspond to climate warming.</t>
  </si>
  <si>
    <t>[Komitov, Boris] Bulgarian Acad Sci, Inst Astron, BU-1784 Sofia, Bulgaria</t>
  </si>
  <si>
    <t>Bulgarian Academy of Sciences</t>
  </si>
  <si>
    <t>Komitov, B (corresponding author), Bulgarian Acad Sci, Inst Astron, BU-1784 Sofia, Bulgaria.</t>
  </si>
  <si>
    <t>bkomitov@sz.inetg.bg</t>
  </si>
  <si>
    <t>BULGARIAN ACAD SCIENCES, INST ASTRONOMY</t>
  </si>
  <si>
    <t>SOFIA</t>
  </si>
  <si>
    <t>TSARIGRADSKO SHOSSE 72, SOFIA, 1784, BULGARIA</t>
  </si>
  <si>
    <t>1313-2709</t>
  </si>
  <si>
    <t>1314-5592</t>
  </si>
  <si>
    <t>BULG ASTRON J</t>
  </si>
  <si>
    <t>Bulg. Astron. J.</t>
  </si>
  <si>
    <t>VC5NZ</t>
  </si>
  <si>
    <t>WOS:000433836700012</t>
  </si>
  <si>
    <t>Candy, SG; Constable, AJ</t>
  </si>
  <si>
    <t>Candy, S. G.; Constable, A. J.</t>
  </si>
  <si>
    <t>AN INTEGRATED STOCK ASSESSMENT FOR THE PATAGONIAN TOOTHFISH (DISSOSTICHUS ELEGINOIDES) FOR THE HEARD AND MCDONALD ISLANDS USING CASAL</t>
  </si>
  <si>
    <t>CCAMLR SCIENCE</t>
  </si>
  <si>
    <t>random stratified trawl surveys; catch-at-length frequencies; catch and effort indices; tag data; process error; lack of fit; CCAMLR</t>
  </si>
  <si>
    <t>GENERALIZED LINEAR-MODELS; AGE DATA; SUBAREA-48.3; RECAPTURE; CATCH</t>
  </si>
  <si>
    <t>An integrated stock assessment for the Patagonian toothfish (Dissostichus eleginoides) for the Heard and McDonald Islands (CCAMLR Division 58.5.2), using CASAL and data consisting of multi-year random stratified trawl survey (RSTS) abundance estimates by length bin, commercial catch-at-length data, standardised CPUE series for the trawl grounds, and tag releases and recoveries by length bin, is described. The annual surveys are spatially representative of the main plateau, where juvenile fish are found, but are of relatively low intensity in effort compared to the commercial shots. In contrast, the commercial shots are very restricted in space, consisting of three main grounds. The model implemented in CASAL is a simple, single-sex, single-area population model, but spatial complexity in the fishery was modelled using separate fishing selectivity functions for each ground by gear (trawl and longline) combination. Various combinations of dataset weighting were investigated using haul-level estimated effective sample sizes with, additionally, iteratively estimated process error for the catch-at-length data and the inclusion versus exclusion of the tag data. A key uncertainty is the number of ages fully selected by the main survey series. With all the data included in the model, age-4 and 5 fish are fully selected, whereas when the survey data have greater influence and without the tag data, the selectivity of these ages was reduced. The method of quantifying process error used in this assessment removes 'systematic lack-of-fit' (SLOF) from population/ fishery model predictions. Extension of this method of estimating process error to RSTS abundance data and commercial catch CPUE data is given, but incorporation of process error for the RSTS data was not considered appropriate, since SLOF could not be removed to an acceptable degree. The issues concerning the effect of the tension between survey data and mark-recapture data on parameter estimation are discussed.</t>
  </si>
  <si>
    <t>[Candy, S. G.; Constable, A. J.] Australian Antarctic Div, Dept Environm Water Heritage &amp; Arts, Kingston, Tas 7050, Australia</t>
  </si>
  <si>
    <t>Candy, SG (corresponding author), Australian Antarctic Div, Dept Environm Water Heritage &amp; Arts, 203 Channel Highway, Kingston, Tas 7050, Australia.</t>
  </si>
  <si>
    <t>steve.candy@aad.gov.au</t>
  </si>
  <si>
    <t>C C A M L R TI</t>
  </si>
  <si>
    <t>NORTH HOBART</t>
  </si>
  <si>
    <t>PO BOX 213, NORTH HOBART, TAS 7002, AUSTRALIA</t>
  </si>
  <si>
    <t>1023-4063</t>
  </si>
  <si>
    <t>CCAMLR SCI</t>
  </si>
  <si>
    <t>CCAMLR Sci.</t>
  </si>
  <si>
    <t>Fisheries</t>
  </si>
  <si>
    <t>380KX</t>
  </si>
  <si>
    <t>WOS:000261465700001</t>
  </si>
  <si>
    <t>Hanchet, SM; Rickard, GJ; Fenaughty, JM; Dunn, A; Williams, MJH</t>
  </si>
  <si>
    <t>Hanchet, S. M.; Rickard, G. J.; Fenaughty, J. M.; Dunn, A.; Williams, M. J. H.</t>
  </si>
  <si>
    <t>A HYPOTHETICAL LIFE CYCLE FOR ANTARCTIC TOOTHFISH (DISSOSTICHUS MAWSONI) IN THE ROSS SEA REGION</t>
  </si>
  <si>
    <t>Antarctic toothfish; Dissostichus mawsoni; modelling larval drift; life history; Ross Sea; CCAMLR</t>
  </si>
  <si>
    <t>PATAGONIAN TOOTHFISH; GROWTH; FISHES; ELEGINOIDES; LARVAL</t>
  </si>
  <si>
    <t>Aspects of the reproduction, size distribution and movements of Antarctic toothfish (Dissostichus mawsoni) in the Ross Sea region are reviewed. Based on the presumed location and timing of spawning and the probable early life-history characteristics of toothfish, the drift of eggs and larvae over a 6-24 month period were investigated using an oceanic circulation model linked to the high-resolution global environmental model (HiGEM). Model outputs indicated that the locations of toothfish larvae after an 18-24 month period were moderately consistent with the distribution of the smallest toothfish taken in the toothfish fishery. The hypothesis presented is that D. mawsoni in CCAMLR Subareas 88.1 and 88.2 spawn mainly on the ridges and banks of the Pacific-Antarctic ridge to the north and east of the Ross Sea. The spawning appears to take place during the austral winter and spring. Depending on the exact location of spawning, eggs and larvae become entrained by the Ross Sea gyres, and may move west, settling out around the Balleny Islands and adjacent Antarctic continental shelf; south onto the Ross Sea shelf, or eastwards with the eastern Ross Sea gyre, settling out along the continental slope and shelf to the east of the Ross Sea in Subarea 88.2. As the juveniles grow in size, they move west back towards the Ross Sea shelf and then move out into deeper water. As they mature, the fish gradually move deeper out onto the continental slope where they gain condition before undergoing a northwards spawning migration to the Pacific-Antarctic Ridge to start the cycle again. Toothfish probably remain in the northern area for 6-18 months before migrating back to the slope to regain condition.</t>
  </si>
  <si>
    <t>[Hanchet, S. M.] Natl Inst Water &amp; Atmospher Res NIWA Ltd, Nelson, New Zealand; [Rickard, G. J.; Dunn, A.; Williams, M. J. H.] Natl Inst Water &amp; Atmospher Res NIWA Ltd, Wellington, New Zealand; [Fenaughty, J. M.] Silvifish Resources Ltd, Wellington, New Zealand</t>
  </si>
  <si>
    <t>National Institute of Water &amp; Atmospheric Research (NIWA) - New Zealand; National Institute of Water &amp; Atmospheric Research (NIWA) - New Zealand</t>
  </si>
  <si>
    <t>Hanchet, SM (corresponding author), Natl Inst Water &amp; Atmospher Res NIWA Ltd, POB 893, Nelson, New Zealand.</t>
  </si>
  <si>
    <t>s.hanchet@niwa.co.nz</t>
  </si>
  <si>
    <t>Williams, Michael/H-9674-2014</t>
  </si>
  <si>
    <t>rickard, graham/0000-0002-0169-4361</t>
  </si>
  <si>
    <t>New Zealand Ministry of Fisheries [ANT2006/01]</t>
  </si>
  <si>
    <t>New Zealand Ministry of Fisheries</t>
  </si>
  <si>
    <t>Thanks to the many observers who collected the data presented in this paper and to the CCAMLR Member countries for releasing those data. We thank Malcolm Roberts at the Met Office (UK) for providing the model output from HiGEM. We would also like to thank the members of the New Zealand Antarctic Fisheries Stock Assessment Working Group for helpful discussions and Drs Kock and Everson for helpful comments on an earlier version of this paper. This project was funded by the New Zealand Ministry of Fisheries under project ANT2006/01.</t>
  </si>
  <si>
    <t>WOS:000261465700002</t>
  </si>
  <si>
    <t>McKinlay, JP; Welsford, DC; Constable, AJ; Nowara, GB</t>
  </si>
  <si>
    <t>McKinlay, J. P.; Welsford, D. C.; Constable, A. J.; Nowara, G. B.</t>
  </si>
  <si>
    <t>AN ASSESSMENT OF THE EXPLORATORY FISHERY FOR DISSOSTICHUS SPP. ON BANZARE BANK (CCAMLR DIVISION 58.4.3b) BASED ON FINE-SCALE CATCH AND EFFORT DATA</t>
  </si>
  <si>
    <t>Antarctic toothfish; Dissostichus mawsoni; Patagonian toothfish; Dissostichus eleginoides; Leslie depletion; BANZARE Bank; CPUE (catch-per-unit-effort); CCAMLR</t>
  </si>
  <si>
    <t>In 2006, the CCAMLR Scientific Committee expressed concern as to the status of the stock on which the exploratory Dissostichus spp. fishery on BANZARE Bank (CCAMLR Division 58.4.3b) was based. This paper presents a summary of fine-scale catch and effort data held by CCAMLR for BANZARE Bank, as well as descriptive analyses of biological data submitted by scientific observers on board vessels in the fishery. Results of a Leslie depletion analysis of stratified catch and effort data indicate that there is strong evidence for depletion of toothfish at the scale of individual fishing grounds in the 2004/05 and 2005/06 seasons. This result, coupled with high estimated levels of illegal, unreported and unregulated (IUU) fishing, and evidence of poor recent recruitment, indicates that the stock is likely to have been overfished. Several inconsistencies are noted between historical data and those submitted in the 2006/07 season, with Patagonian toothfish (D. eleginoides) reportedly replacing Antarctic toothfish (D. mawsoni) as the dominant toothfish species in catches in one ground for the first time. Incomplete reporting of biological information for by-catch species by on-board scientific observers was noted, limiting meaningful analysis of patterns in by-catch catch and effort. Further research, particularly research surveys, would greatly assist with assessing the status and stock structure of Dissostichus spp. in this area. The potential for similar analyses in other exploratory toothfish fisheries should be investigated, as this study indicates that severe depletion can occur in the space of just two or three seasons.</t>
  </si>
  <si>
    <t>[McKinlay, J. P.; Welsford, D. C.; Constable, A. J.; Nowara, G. B.] Australian Antarctic Div, Dept Environm Water Heritage &amp; Arts, Kingston, Tas 7050, Australia</t>
  </si>
  <si>
    <t>McKinlay, JP (corresponding author), Australian Antarctic Div, Dept Environm Water Heritage &amp; Arts, 203 Channel Highway, Kingston, Tas 7050, Australia.</t>
  </si>
  <si>
    <t>john.mckinlay@aad.gov.au</t>
  </si>
  <si>
    <t>Welsford, Dirk/0000-0001-5379-5052; McKinlay, John/0000-0003-4858-2604</t>
  </si>
  <si>
    <t>WOS:000261465700003</t>
  </si>
  <si>
    <t>Robertson, G; Moreno, CA; Gutiérrez, E; Candy, SG; Melvin, EF; Pon, JPS</t>
  </si>
  <si>
    <t>Robertson, G.; Moreno, C. A.; Gutierrez, E.; Candy, S. G.; Melvin, E. F.; Pon, J. P. Seco</t>
  </si>
  <si>
    <t>LINE WEIGHTS OF CONSTANT MASS (AND SINK RATES) FOR SPANISH-SYSTEM PATAGONIAN TOOTHFISH LONGLINE VESSELS</t>
  </si>
  <si>
    <t>longline fishing; Spanish system; Chilean method; line weights; sink rates; seabird mortality; cooperative research; CCAMLR</t>
  </si>
  <si>
    <t>CCAMLR Conservation Measure 25-02 requires Spanish-system longline vessels to attach 8.5 kg weights at 40 m intervals on longlines to minimise interactions with seabirds. The weights typically used are collections of rocks enclosed in netting bags. During fishing operations the netting bags abrade on the seabed causing rocks to be lost and the weights to become progressively lighter, requiring ongoing repair. This problem can be solved by use of hydrodynamically shaped (e.g. torpedo-shaped) steel weights, which are smaller for equivalent weight, and require no maintenance. An experiment was conducted on a Spanish-system longline vessel to determine the relationship between the sink rates of longlines equipped with bags of rocks (4, 6 and 8 kg) and those with steel weights of equivalent masses. The purpose of the experiment was to provide vessel operators with the option of substituting steel weights for rock weights while remaining in compliance with the sink rates associated with the line-weighting provisions of Conservation Measure 25-02. Both the Spanish system and the newly developed Chilean longline (a modified version of the former method to avoid fish loss by toothed whales) were tested in the experiment. Spanish-system longlines with 8 kg rock weights every 40 m averaged 0.22 m s(-1) to 2 m depth, which would be equal to, or exceeded by, lines with 5 kg steel weights. Sink rates of Chilean longlines greatly exceeded those of the Spanish system, ranging from 0.68 m S-1 (4 kg rocks) to 1.31 m s(-1) (8 kg steel) in the shallow depth ranges. Hydrodynamically shaped steel weights weighing 5 kg would be an appropriate substitute for 8.5 kg rock weights irrespective of fishing method.</t>
  </si>
  <si>
    <t>[Moreno, C. A.] Univ Austral Chile, Inst Ecol &amp; Evoluc, Valdivia, Chile; [Robertson, G.; Candy, S. G.] Australian Antarctic Div, Dept Environm Water Heritage &amp; Arts, Kingston, Tas 7050, Australia; [Melvin, E. F.] Univ Washington, Washington Sea Grant Sch Aquat &amp; Fishery Sci, Seattle, WA 98195 USA; [Gutierrez, E.] Pesca Chile SA, Punta Arenas, Chile</t>
  </si>
  <si>
    <t>Universidad Austral de Chile; Australian Antarctic Division; University of Washington; University of Washington Seattle</t>
  </si>
  <si>
    <t>Robertson, G (corresponding author), Australian Antarctic Div, Dept Environm Water Heritage &amp; Arts, 203 Channel Highway, Kingston, Tas 7050, Australia.</t>
  </si>
  <si>
    <t>graham.robertson@aad.gov.au</t>
  </si>
  <si>
    <t>WOS:000261465700005</t>
  </si>
  <si>
    <t>Robertson, G; Williamson, J; McNeill, M; Candy, SG; Smith, N</t>
  </si>
  <si>
    <t>Robertson, G.; Williamson, J.; McNeill, M.; Candy, S. G.; Smith, N.</t>
  </si>
  <si>
    <t>AUTOLINERS AND SEABIRD BY-CATCH: DO LINE SETTERS INCREASE THE SINK RATE OF INTEGRATED WEIGHT LONGLINES?</t>
  </si>
  <si>
    <t>autoline vessels; line setters; longline sink rates; seabird mortality; cooperative research; CCAMLR</t>
  </si>
  <si>
    <t>MORTALITY</t>
  </si>
  <si>
    <t>Line setters are used with integrated weight (IW) (50 g m(-1) lead core) longlines by some autoline vessels in the Kerguelen and Crozet Islands Patagonian toothfish (Dissostichus eleginoides) fisheries to deter seabirds, ostensibly by expediting gear sink rates. A trial was conducted in the Ross Sea to determine the effectiveness of line setters in increasing the sink rates of IW longlines. Time-depth recorders were deployed on lines set with and without a line setter using a paired-treatment design. Sink rates of longlines set with and without a line setter were identical, including in the first few metres of the water column where seabird interactions are likely to be most intense. Longlines deployed with the line setter entered the water several metres closer to the stern of the vessel and commenced sinking sooner, thus increasing slightly (&lt; 0.5 m) the depth of longlines for given distances astern. This increase in depth is minor and unlikely to result in substantial reductions in interactions between longlines and seabirds in the Kerguelen and Crozet fisheries.</t>
  </si>
  <si>
    <t>[Robertson, G.; Candy, S. G.] Australian Antarctic Div, Dept Environm Water Heritage &amp; Arts, Kingston, Tas 7050, Australia; [Williamson, J.; Smith, N.] Minist Fisheries, Wellington, New Zealand; [McNeill, M.] Sealord Grp, Nelson, New Zealand</t>
  </si>
  <si>
    <t>WOS:000261465700006</t>
  </si>
  <si>
    <t>Candy, SG</t>
  </si>
  <si>
    <t>Candy, S. G.</t>
  </si>
  <si>
    <t>ESTIMATION OF EFFECTIVE SAMPLE SIZE FOR CATCH-AT-AGE AND CATCH-AT-LENGTH DATA USING SIMULATED DATA FROM THE DIRICHLET-MULTINOMIAL DISTRIBUTION</t>
  </si>
  <si>
    <t>Dirichlet-multinomial distribution; integrated assessment; effective sample size; profile maximum likelihood; process error; model lack-of-fit; CCAMLR</t>
  </si>
  <si>
    <t>STOCK ASSESSMENT; MODEL</t>
  </si>
  <si>
    <t>The incorporation of 'effective sample size' (ESS) in integrated assessments is an approximate but simple way of modelling the distribution of catch-at-age or catch-at-length frequencies using a multinomial likelihood when there is extra-multinomial heterogeneity. Accurate estimation of ESS for catch-frequency data for each fishery and fishing year is important for such assessments, and this issue is studied using simulation. Between-haul heterogeneity within fishing year was simulated using samples from the Dirichlet-multinomial (D-M) distribution, with marginal class probabilities generated using a simple age-structured model incorporating fishing selectivity. Four methods of estimation of effective sample size were compared using this simulation model and its variants. One of the methods is based on the lack-of-fit of predictions of class probabilities using aggregate year-level frequencies. The other three estimators use the haul-level frequencies, including a method based on an approximate profile maximum likelihood estimate (PMLE) of the D-M dispersion parameter. The remaining two estimators based on haul-level frequencies are derived from models for the empirical coefficient of variation (CV) in the proportions, with one being based on an existing CV model used for CCAMLR fisheries while the other is a new method. The methods that use haul-level frequencies gave accurate estimators of an ESS that is appropriate for haul-level heterogeneity with increasing accuracy in the following order: (i) the estimator based on the existing CV model; (ii) that based on the new CV model; and (iii) that based on the PMLE. The year-level method gave very inaccurate estimates of this ESS with relative mean square error two orders of magnitude worse than the best haul-level method. To account for process error in the calculation of the ESS, the lack of fit of the age-structured model in predicting class/bin by year frequencies is used to obtain a single, across-years, over-dispersion parameter. The ESS is then rescaled by dividing by the over-dispersion parameter, and the model refitted, giving a two-step iterative procedure. The ESS will be over-corrected if there is a systematic component to the lack of fit. A simple generic model of systematic lack-of-fit (SLOF) is presented, and its performance, in terms of providing unbiased estimates of ESS when SLOF is either present or absent, is studied using perturbations of the age-structured model. These perturbations consisted of either systematic or random variation across years in one of the selectivity function parameters and similarly for the mortality rate parameter when combined with systematic or random variation in recruitment. The SLOF model substantially reduced the bias when SLOF was present and is useful when its source is not clear or cannot be rectified by changing the underlying age-structured assessment model.</t>
  </si>
  <si>
    <t>Australian Antarctic Div, Dept Environm Water Heritage &amp; Arts, Kingston, Tas 7050, Australia</t>
  </si>
  <si>
    <t>WOS:000261465700007</t>
  </si>
  <si>
    <t>Sutton, CP; Manning, MJ; Stevens, DW; Marriott, PM</t>
  </si>
  <si>
    <t>Sutton, C. P.; Manning, M. J.; Stevens, D. W.; Marriott, P. M.</t>
  </si>
  <si>
    <t>BIOLOGICAL PARAMETERS FOR ICEFISH (CHIONOBATHYSCUS DEWITTI) IN THE ROSS SEA, ANTARCTICA</t>
  </si>
  <si>
    <t>Antarctic toothfish; biology; Chionobathyscus dewitti; Ross Sea; CCAMLR</t>
  </si>
  <si>
    <t>UNIQUE FAMILY; AGE; FISHES; CHANNICHTHYIDAE; GROWTH</t>
  </si>
  <si>
    <t>Icefish (Channichthyidae) specimens were randomly collected by observers during the 2005/06 fishing season. These observers were placed on board three longline vessels targeting Antarctic toothfish (Dissostichus mawsoni) in the Ross Sea (CCAMLR Subareas 88.1 and 88.2). Biological data from 303 specimens were collected. These data included species identification, fish length, weight, sex, meristics, reproductive biology, diet and age estimation. All of the icefish sampled were identified as Chionobathyscus dewitti, and showed no significant difference in sex ratio. Meristic, diet and age data were consistent with previous research. Regression equations for converting standard length to total length and for defining length-weight relationships were calculated and presented for both male and female fish. Gonad maturity stage data showed that most fish were either immature or resting (mature). Gonadosomatic indices (GSIs) were calculated and plotted against sample month. There was a weak positive trend in GSI between December and February, but this was limited, probably due to the short temporal distribution of the data. Length-at-maturity and age-at-maturity ogives indicated that 50% of the fish sampled were mature at about 340-360 mm total length (TL) and about 3-4 years of age, and that 95% were mature at about 370-400 mm TL and 6-8 years of age. Counts of growth zones in sectioned otoliths were used to determine ages and von Bertalanffy growth parameters. Fish growth was rapid for both sexes, and females approached a significantly larger mean asymptotic maximum size than males. Maximum ages of 8 and 11 years were obtained for male and female fish respectively. Diet analysis showed most icefish stomachs were empty and the few prey items recovered were generally in advanced stages of digestion. This may be due to regurgitation of prey during capture.</t>
  </si>
  <si>
    <t>[Sutton, C. P.] Natl Inst Water &amp; Atmospher Res NIWA Ltd, Nelson, New Zealand; [Manning, M. J.; Stevens, D. W.; Marriott, P. M.] Natl Inst Water &amp; Atmospher Res NIWA Ltd, Wellington, New Zealand</t>
  </si>
  <si>
    <t>Sutton, CP (corresponding author), Natl Inst Water &amp; Atmospher Res NIWA Ltd, POB 893, Nelson, New Zealand.</t>
  </si>
  <si>
    <t>c.sutton@niwa.co.nz</t>
  </si>
  <si>
    <t>marriott, peter/0000-0003-2299-4678</t>
  </si>
  <si>
    <t>WOS:000261465700008</t>
  </si>
  <si>
    <t>Lockhart, SJ; Jones, CD</t>
  </si>
  <si>
    <t>Lockhart, S. J.; Jones, C. D.</t>
  </si>
  <si>
    <t>BIOGEOGRAPHIC PATTERNS OF BENTHIC INVERTEBRATE MEGAFAUNA ON SHELF AREAS WITHIN THE SOUTHERN OCEAN ATLANTIC SECTOR</t>
  </si>
  <si>
    <t>bioregionalisation; benthic invertebrates; megafauna; zonation; water masses; Antarctic Circumpolar Current; iceberg scouring; hexactinellid; CCAMLR</t>
  </si>
  <si>
    <t>ANTARCTIC BENTHOS; COMMUNITIES; WEDDELL; IMPACT; BIODIVERSITY; RECOVERY; GROWTH; FAUNA; WATER</t>
  </si>
  <si>
    <t>Bioregionalisation of Antarctic and Southern Ocean shelf communities ideally incorporates a range of data on physical, environmental and biological properties. Analysis of the benthic invertebrate megafaunal assemblages of shelf habitats within the Atlantic sector, from scientific survey trawl catches, reveals distributional patterns. For the northern Antarctic Peninsula and the South Shetland Islands, the data indicate a two-layered pattern based on standardised total biomass data and the composition of phyla that contribute to that biomass. An examination of physical oceanographic data reveals a pattern of shelf faunal zonation: the benthic invertebrate communities on the northern shelves of the South Shetland Islands and the northern Antarctic Peninsula can apparently be separated into zones based on the physical properties of the Antarctic Circumpolar Current and the Weddell water masses that meet and mix in this region. Evident at smaller spatial scales are the effects of disturbance regimes, whether by iceberg scouring or historical commercial bottom trawling. Patterns of benthic invertebrate biomass are also described for the South Orkney Islands, as well as general patterns of phylum-level composition for South Georgia, the South Sandwich and Bouvet Islands. These regions are generally echinoderm-dominated, compared to the hexactinellid sponge-dominated northern Antarctic Peninsula region.</t>
  </si>
  <si>
    <t>[Lockhart, S. J.; Jones, C. D.] NOAA, US Antarctic Marine Living Resources Program, SW Fisheries Sci Ctr, La Jolla, CA 92037 USA</t>
  </si>
  <si>
    <t>National Oceanic Atmospheric Admin (NOAA) - USA</t>
  </si>
  <si>
    <t>Jones, CD (corresponding author), NOAA, US Antarctic Marine Living Resources Program, SW Fisheries Sci Ctr, 8604 La Jolla Shores Dr, La Jolla, CA 92037 USA.</t>
  </si>
  <si>
    <t>chris.d.jones@noaa.gov</t>
  </si>
  <si>
    <t>US National Science Foundation Grant [OPP-0132032]</t>
  </si>
  <si>
    <t>US National Science Foundation Grant(National Science Foundation (NSF))</t>
  </si>
  <si>
    <t>The authors wish to thank the captains and crews of the RV Yuzhmorgeologiya and RV/IB Nathaniel B. Palmer. This research could not have been conducted without the assistance of many on board whose cheerful and untiring assistance in sorting the massive amounts of benthos is gratefully acknowledged. Proving critical to the formation of the ideas presented here, we are most grateful to Christian Reiss for his descriptions of the physical oceanographic characteristics of our study area, and also for putting together Figure 12 from unpublished data. Constructive manuscript review was provided by K. Linse, J. Gutt and B. Fernholm, for which we are most appreciative. US National Science Foundation Grant OPP-0132032 awarded to H. William Detrich contributed funding for the ICEFISH cruise.</t>
  </si>
  <si>
    <t>WOS:000261465700009</t>
  </si>
  <si>
    <t>Brierley, AS; Heywood, BG; Gull, SF</t>
  </si>
  <si>
    <t>Brierley, A. S.; Heywood, B. G.; Gull, S. F.</t>
  </si>
  <si>
    <t>ESTIMATING STANDING STOCK OF KRILL USING MAXIMUM ENTROPY IMAGE RECONSTRUCTION RESPONSE</t>
  </si>
  <si>
    <t>Letter</t>
  </si>
  <si>
    <t>ANTARCTIC KRILL; SOUTHERN-OCEAN; SCOTIA SEA; ABUNDANCE; INFERENCE; DESIGN</t>
  </si>
  <si>
    <t>[Brierley, A. S.; Heywood, B. G.] Univ St Andrews, Gatty Marine Lab, Pelag Ecol Res Grp, St Andrews KY16 9AJ, Fife, Scotland; [Gull, S. F.] Univ Cambridge, Cavendish Lab, Astrophys Grp, Cambridge CB2 1TN, England</t>
  </si>
  <si>
    <t>University of St Andrews; University of Cambridge</t>
  </si>
  <si>
    <t>Brierley, AS (corresponding author), Univ St Andrews, Gatty Marine Lab, Pelag Ecol Res Grp, St Andrews KY16 9AJ, Fife, Scotland.</t>
  </si>
  <si>
    <t>asb4@st-and.ac.uk</t>
  </si>
  <si>
    <t>Brierley, Andrew/G-8019-2011</t>
  </si>
  <si>
    <t>Brierley, Andrew/0000-0002-6438-6892</t>
  </si>
  <si>
    <t>WOS:000261465700011</t>
  </si>
  <si>
    <t>Pakchung, AAH; Soe, CZ; Codd, R</t>
  </si>
  <si>
    <t>Pakchung, Amalie A. H.; Soe, Cho Z.; Codd, Rachel</t>
  </si>
  <si>
    <t>Studies of Iron-Uptake Mechanisms in Two Bacterial Species of the Shewanella Genus Adapted to Middle-Range (Shewanella putrefaciens) or Antarctic (Shewanella gelidimarina) Temperatures</t>
  </si>
  <si>
    <t>CHEMISTRY &amp; BIODIVERSITY</t>
  </si>
  <si>
    <t>AMPHIPHILIC SIDEROPHORES; MEMBRANE AFFINITY</t>
  </si>
  <si>
    <t>Iron (III)-uptake mechanisms in bacteria indigenous to the Antarctic, which is the most Fe-deficient continent on Earth, have not been extensively studied. The cold-adapted, Antarctic bacterium, Shewanella gelidimarina, does not produce detectable levels of the siderophore, putrebactin, in the supernatant of Fe-III-deprived cultures. This is distinct from the putrebactin-producing bacterium from the same genus, Shewanella putrefaciens, which is adapted to middle-range temperatures. The production of putrebactin by S. putrefaciens is optimal, when the pH value of the medium is 7.0. According to the strong positive response from whole cells in the Chrome Azurol S (CAS) agar diffusion assay, Shewanella gelidimarina appears to produce cell-associated siderophores. In the RP-HPLC trace of an Fe-III-loaded extract from the cell-associated components of S. gelidimarina cultured in media with [Fe-III] ca. 0 mu M, a peak appears at [MeCN] ca. 77%, which decreases in intensity in a parallel experiment in which [Fe-III] ca. 5 mu M, and is barely detectable in Fe-III-replete media ([Fe-III] ca. 20 mu M). ne Fe-III-dependence of this peak suggests that the attendant species, which is significantly more hydrophobic than putrebactin (RP-HPLC elution: [MeCN] ca. 14%), is associated with Fe-III-management in S. gelidimarina. This study highlights the diversity in Fe-III-uptake mechanisms in Shewanella species adapted to different environmental and thermal niches.</t>
  </si>
  <si>
    <t>[Pakchung, Amalie A. H.; Codd, Rachel] Univ Sydney, Sch Chem, Sydney, NSW 2006, Australia; [Soe, Cho Z.; Codd, Rachel] Univ Sydney, Sch Med Sci Pharmacol, Sydney, NSW 2006, Australia; [Soe, Cho Z.; Codd, Rachel] Univ Sydney, Bosch Inst, Sydney, NSW 2006, Australia</t>
  </si>
  <si>
    <t>University of Sydney; University of Sydney; University of Sydney</t>
  </si>
  <si>
    <t>Codd, R (corresponding author), Univ Sydney, Sch Chem, Sydney, NSW 2006, Australia.</t>
  </si>
  <si>
    <t>rcodd@med.usyd.edu.au</t>
  </si>
  <si>
    <t>Codd, Rachel/C-1202-2012</t>
  </si>
  <si>
    <t>Codd, Rachel/0000-0002-2703-883X; Soe, Cho Zin/0000-0003-2054-012X</t>
  </si>
  <si>
    <t>The Hermon Slade Foundation [HSF 06/7]; Australian Antarctic Division (Australian Antarctic Science Grant 2547); University of Sydney; University Postgraduate Award</t>
  </si>
  <si>
    <t>The Hermon Slade Foundation; Australian Antarctic Division (Australian Antarctic Science Grant 2547); University of Sydney(University of Sydney); University Postgraduate Award</t>
  </si>
  <si>
    <t>We thank Dr. D. S. Nichols of the University of Tasmania for kindly providing us with Shewanella gelidimarina ACAM 456T and Dr. K Picker for assistance in the RP-HPLC experiments. Financial support from The Hermon Slade Foundation (HSF 06/7) and the Australian Antarctic Division (Australian Antarctic Science Grant 2547) is gratefully acknowledged (R. C.) together with support from the University of Sydney (Research &amp; Development Grant (R. C.) and University Postgraduate Award Co-funded (A. A. H. R)).</t>
  </si>
  <si>
    <t>WILEY-V C H VERLAG GMBH</t>
  </si>
  <si>
    <t>WEINHEIM</t>
  </si>
  <si>
    <t>POSTFACH 101161, 69451 WEINHEIM, GERMANY</t>
  </si>
  <si>
    <t>1612-1872</t>
  </si>
  <si>
    <t>1612-1880</t>
  </si>
  <si>
    <t>CHEM BIODIVERS</t>
  </si>
  <si>
    <t>Chem. Biodivers.</t>
  </si>
  <si>
    <t>10.1002/cbdv.200890192</t>
  </si>
  <si>
    <t>Biochemistry &amp; Molecular Biology; Chemistry, Multidisciplinary</t>
  </si>
  <si>
    <t>372RS</t>
  </si>
  <si>
    <t>WOS:000260920000015</t>
  </si>
  <si>
    <t>Meng, Y; Wang, ZM; Dong-Chen, E; Hong-Tao, C</t>
  </si>
  <si>
    <t>Meng Yang; Wang Ze-Min; Dong-Chen, E.; Cai Hong-Tao</t>
  </si>
  <si>
    <t>Research of Polar TEC fluctuations and polar patches during magnetic storm using GPS</t>
  </si>
  <si>
    <t>CHINESE JOURNAL OF GEOPHYSICS-CHINESE EDITION</t>
  </si>
  <si>
    <t>Chinese</t>
  </si>
  <si>
    <t>magnetic storm; polar patches; GPS; TEC; ROT</t>
  </si>
  <si>
    <t>SYSTEM PHASE FLUCTUATIONS; F-REGION PATCHES; IONIZATION PATCHES; CAP; IRREGULARITIES; IONOSPHERE; BLOBS</t>
  </si>
  <si>
    <t>Using the GPS observations from perennial GPS station in Zhongshan Station and IGS (International GPS Service) station (CAS1, MCM4, SYOG, MAW1 in the Antarctic region during a geomagnetic storm, November 6 similar to 10, 2004, TEC and ROT values along visible satellite passes are computed, then the number of polar patches are estimated based the frequency and amplitude of TEC fluctuations, furthermore, the polar ionospheric behavior and characteristic of polar patches during storms are analyzed. The derived conclusions are consistent with known characteristics of polar ionosphere detected by other instruments. The work done in this paper haven't been developed in our country, so there will be some guiding significance to future research work from the method and conclusions in this paper.</t>
  </si>
  <si>
    <t>[Meng Yang; Wang Ze-Min; Dong-Chen, E.] Wuhan Univ, Sch Geodesy &amp; Geomat, Wuhan 430079, Peoples R China; [Meng Yang; Wang Ze-Min; Dong-Chen, E.] Wuhan Univ, Chinese Antarctic Ctr Surveying &amp; Mapping, Wuhan 430079, Peoples R China; [Cai Hong-Tao] Wuhan Univ, Coll Elect informat, Wuhan 430079, Peoples R China</t>
  </si>
  <si>
    <t>Wuhan University; Wuhan University; Wuhan University</t>
  </si>
  <si>
    <t>Meng, Y (corresponding author), Wuhan Univ, Sch Geodesy &amp; Geomat, Wuhan 430079, Peoples R China.</t>
  </si>
  <si>
    <t>mengyang19@163.com</t>
  </si>
  <si>
    <t>SCIENCE CHINA PRESS</t>
  </si>
  <si>
    <t>BEIJING</t>
  </si>
  <si>
    <t>16 DONGHUANGCHENGGEN NORTH ST, BEIJING 100717, PEOPLES R CHINA</t>
  </si>
  <si>
    <t>0001-5733</t>
  </si>
  <si>
    <t>CHINESE J GEOPHYS-CH</t>
  </si>
  <si>
    <t>Chinese J. Geophys.-Chinese Ed.</t>
  </si>
  <si>
    <t>258AX</t>
  </si>
  <si>
    <t>WOS:000252841900003</t>
  </si>
  <si>
    <t>Xiao, CD; Li, YS; Hou, SG; Allison, I; Bian, LG; Ren, JW</t>
  </si>
  <si>
    <t>Xiao CunDe; Li YuanSheng; Hou ShuGui; Allison, Ian; Bian LinGen; Ren JiaWen</t>
  </si>
  <si>
    <t>Preliminary evidence indicating Dome A (Antarctica) satisfying preconditions for drilling the oldest ice core</t>
  </si>
  <si>
    <t>CHINESE SCIENCE BULLETIN</t>
  </si>
  <si>
    <t>Antarctic ice divide; Dome A; extreme temperature; snow accumulation; Middle Pleistocene Transition (MPT)</t>
  </si>
  <si>
    <t>ISOTOPE COMPOSITION; EAST ANTARCTICA; VOSTOK STATION; ACCUMULATION; SNOW; VARIABILITY; RECORD; LONG</t>
  </si>
  <si>
    <t>Lowest temperature and snow accumulation rate are preconditions for retrieving the oldest ice core from the polar ice sheets. The 10-m depth firn temperature at Dome A, the summit of the Antarctic Ice Sheet, recorded by an automatic weather station (AWS) was -58.3 degrees C in 2005 and -58.2 degrees C in 2006, respectively. The 10-m firn temperature is an approximation of the annual mean air temperature (AMAT), and this is the lowest AMAT that has been recorded on the surface of the Earth. The stable isotopic ratios (delta O-18 and delta D) of surface snow at Dome A are also lower than at other ice sheet domes along the East Antarctic Ice Divide such as Dome C, Dome F, Dome B and Vostok. These facts indicate that Dome A is the pole of cold on the Earth. The total amount of snow accumulation rate in 2005 and 2006 was only 0.16 cm, equaling 0.016 m water equivalent per year, the lowest precipitation ever recorded from Antarctica. Preliminary evidences indicate that Dome A is a candidate site for recovering the oldest ice core.</t>
  </si>
  <si>
    <t>[Xiao CunDe; Hou ShuGui; Ren JiaWen] Chinese Acad Sci, State Key Lab Cryospher Sci, Cold Arid Reg Environm &amp; Engn Res Inst, Lanzhou 730000, Peoples R China; [Xiao CunDe; Bian LinGen] Chinese Acad Meteorol Sci, Beijing 100081, Peoples R China; [Li YuanSheng] Polar Res Inst China, Shanghai 200129, Peoples R China; [Allison, Ian] Australian Antarctic Div, Hobart, Tas 7001, Australia; [Allison, Ian] Antartic Climate &amp; Ecosyst CRC, Hobart, Tas 7001, Australia</t>
  </si>
  <si>
    <t>Chinese Academy of Sciences; Cold &amp; Arid Regions Environmental &amp; Engineering Research Institute, CAS; China Meteorological Administration; Chinese Academy of Meteorological Sciences (CAMS); Polar Research Institute of China; Australian Antarctic Division; University of Tasmania</t>
  </si>
  <si>
    <t>Xiao, CD (corresponding author), Chinese Acad Sci, State Key Lab Cryospher Sci, Cold Arid Reg Environm &amp; Engn Res Inst, Lanzhou 730000, Peoples R China.</t>
  </si>
  <si>
    <t>Allison, Ian F/I-4477-2015; Jiawen, Ren/K-7734-2012</t>
  </si>
  <si>
    <t>Allison, Ian F/0000-0001-9599-0251; Hou, Shugui/0000-0002-0905-3542</t>
  </si>
  <si>
    <t>SCIENCE PRESS</t>
  </si>
  <si>
    <t>1001-6538</t>
  </si>
  <si>
    <t>1861-9541</t>
  </si>
  <si>
    <t>CHINESE SCI BULL</t>
  </si>
  <si>
    <t>Chin. Sci. Bull.</t>
  </si>
  <si>
    <t>10.1007/s11434-007-0520-6</t>
  </si>
  <si>
    <t>250BV</t>
  </si>
  <si>
    <t>WOS:000252275900016</t>
  </si>
  <si>
    <t>Lunt, DJ; Valdes, PJ; Haywood, A; Rutt, IC</t>
  </si>
  <si>
    <t>Lunt, Daniel J.; Valdes, Paul J.; Haywood, Alan; Rutt, Ian C.</t>
  </si>
  <si>
    <t>Closure of the Panama Seaway during the Pliocene: implications for climate and Northern Hemisphere glaciation</t>
  </si>
  <si>
    <t>CLIMATE DYNAMICS</t>
  </si>
  <si>
    <t>CENTRAL-AMERICAN SEAWAY; OCEAN CIRCULATION; ATLANTIC-OCEAN; MIDDLE PLIOCENE; LATE NEOGENE; MODEL; ATMOSPHERE; PACIFIC; IMPACT; UPLIFT</t>
  </si>
  <si>
    <t>The Panama Hypothesis states that the gradual closure of the Panama Seaway, between 13 million years ago (13 Ma) and 2.6 Ma, led to decreased mixing of Atlantic and Pacific water Masses, the formation of North Atlantic Deep water and strengthening of the Atlantic thermohaline circulation, increased temperatures and evaporation in the North Atlantic, increased precipitation in Northern Hemisphere (NH) high latitudes, culminating in the intensification of Northern Hemisphere Glaciation (NHG) during the Pliocene, 3.2-2.7 Ma. Here we test this hypothesis using a fully coupled, fully dynamic ocean-atmosphere general circulation model (GCM) with boundary conditions specific to the Pliocene, and a high resolution dynamic ice sheet model. We carry out two GCM simulations with closed and open Panama Seaways, and use the simulated climatologies to force the ice sheet model. We find that the models support the Panama Hypothesis in as much as the closure of the seaway results in a more intense Atlantic thermohaline circulation, enhanced precipitation over Greenland and North America, and ultimately larger ice sheets. However, the volume difference between the ice sheets in the closed and open configurations is small, equivalent to about 5 cm of sea level. We conclude that although the closure of the Panama Seaway may have slightly enhanced or advanced the onset of NHG, it was not a major forcing mechanism. Future work must fully couple the ice sheet model and GCM, and investigate the role of orbital and CO2 effects in controlling NHG.</t>
  </si>
  <si>
    <t>Univ Bristol, Sch Geosci, Bristol BS8 1SS, Avon, England; British Antarctic Survey, Geo Sci Div, Cambridge CB3 0ET, England; Univ Leeds, Sch Earth &amp; Environm, Leeds LS2 9JT, W Yorkshire, England; Univ Coll Swansea, Dept Geog, Swansea SA2 8PP, W Glam, Wales</t>
  </si>
  <si>
    <t>University of Bristol; UK Research &amp; Innovation (UKRI); Natural Environment Research Council (NERC); NERC British Antarctic Survey; University of Leeds; Swansea University</t>
  </si>
  <si>
    <t>Lunt, DJ (corresponding author), Univ Bristol, Sch Geosci, Univ Rd, Bristol BS8 1SS, Avon, England.</t>
  </si>
  <si>
    <t>d.j.lunt@bristol.ac.uk</t>
  </si>
  <si>
    <t>Valdes, Paul J/C-4129-2013; Valdes, Paul/T-2004-2019; Lunt, Daniel/G-9451-2011; Rutt, Ian/A-6307-2012</t>
  </si>
  <si>
    <t>Valdes, Paul/0000-0002-1902-3283; Lunt, Daniel/0000-0003-3585-6928; Rutt, Ian/0000-0003-4015-6010</t>
  </si>
  <si>
    <t>Natural Environment Research Council [bas010019] Funding Source: researchfish; NERC [bas010019] Funding Source: UKRI</t>
  </si>
  <si>
    <t>0930-7575</t>
  </si>
  <si>
    <t>1432-0894</t>
  </si>
  <si>
    <t>CLIM DYNAM</t>
  </si>
  <si>
    <t>Clim. Dyn.</t>
  </si>
  <si>
    <t>10.1007/s00382-007-0265-6</t>
  </si>
  <si>
    <t>232HN</t>
  </si>
  <si>
    <t>WOS:000251009500001</t>
  </si>
  <si>
    <t>Lefebvre, W; Goosse, H</t>
  </si>
  <si>
    <t>Lefebvre, W.; Goosse, H.</t>
  </si>
  <si>
    <t>Analysis of the projected regional sea-ice changes in the Southern Ocean during the twenty-first century</t>
  </si>
  <si>
    <t>climate change; sea ice; Southern ocean; mechanisms; regional patterns</t>
  </si>
  <si>
    <t>HEMISPHERE ANNULAR MODE; TRANSIENT-RESPONSES; SURFACE-TEMPERATURE; ANTARCTIC DIPOLE; ATMOSPHERE MODEL; GRADUAL CHANGES; VARIABILITY; CO2; OSCILLATION</t>
  </si>
  <si>
    <t>Using the set of simulations performed with atmosphere-ocean general circulation models (AOGCMs) for the Fourth Assessment Report of the Intergovernmental Panel on Climate Change (IPCC AR4), the projected regional distribution of sea ice for the twenty-first century has been investigated. Averaged over all those model simulations, the current climate is reasonably well reproduced. However, this averaging procedure hides the errors from individual models. Over the twentieth century, the multimodel average simulates a larger sea-ice concentration decrease around the Antarctic Peninsula compared to other regions, which is in qualitative agreement with observations. This is likely related to the positive trend in the Southern Annular Mode (SAM) index over the twentieth century, in both observations and in the multimodel average. Despite the simulated positive future trend in SAM, such a regional feature around the Antarctic Peninsula is absent in the projected sea-ice change for the end of the twenty-first century. The maximum decrease is indeed located over the central Weddell Sea and the Amundsen-Bellingshausen Seas. In most models, changes in the oceanic currents could play a role in the regional distribution of the sea ice, especially in the Ross Sea, where stronger southward currents could be responsible for a smaller sea-ice decrease during the twenty-first century. Finally, changes in the mixed layer depth can be found in some models, inducing locally strong changes in the sea-ice concentration.</t>
  </si>
  <si>
    <t>Catholic Univ Louvain, Inst Astron &amp; Geophys Georges Lemaitre, B-1348 Louvain, Belgium</t>
  </si>
  <si>
    <t>Universite Catholique Louvain</t>
  </si>
  <si>
    <t>Lefebvre, W (corresponding author), Catholic Univ Louvain, Inst Astron &amp; Geophys Georges Lemaitre, Chemn du Cylotron 2, B-1348 Louvain, Belgium.</t>
  </si>
  <si>
    <t>lefebvre@astr.ucl.ac.be</t>
  </si>
  <si>
    <t>Lefebvre, Wouter/F-5610-2015</t>
  </si>
  <si>
    <t>Lefebvre, Wouter/0000-0002-3277-3118</t>
  </si>
  <si>
    <t>10.1007/s00382-007-0273-6</t>
  </si>
  <si>
    <t>WOS:000251009500004</t>
  </si>
  <si>
    <t>Gallego, D; García-Herrera, R; Prieto, R; Peña-Ortiz, C</t>
  </si>
  <si>
    <t>Gallego, D.; Garcia-Herrera, R.; Prieto, R.; Pena-Ortiz, C.</t>
  </si>
  <si>
    <t>On the quality of climate proxies derived from newspaper reports -: a case study</t>
  </si>
  <si>
    <t>CLIMATE OF THE PAST</t>
  </si>
  <si>
    <t>ENSO-RELATED VARIABILITY; ANTARCTIC SEA-ICE; SOUTHERN-HEMISPHERE; RAINFALL VARIABILITY; CENTRAL CHILE; CENTRAL ANDES; SPLIT JET; TELECONNECTIONS; TEMPERATURE; OSCILLATION</t>
  </si>
  <si>
    <t>One of the main problems in climate reconstruction from documentary sources is the evaluation of the quality of non instrumental meteorological records in absence of instrumental observations to perform a calibration. In these cases it is mandatory to envision different approaches to assess the climatic signal in a reconstruction. This work is aimed to test the consistency of a snow frequency reconstruction in the central Argentinean Andes by studying the synoptic patterns related to the occurrence of precipitation in this area. While the original reconstruction covers the period between 1885 and 1996, the insufficiency of overlapping instrumental data limited the calibration to a short 15-year interval. In this paper we evaluate the performance of the reconstructed series for the entire 45-year period between 1958 and 1996 by analyzing the displacement in the jet stream and the patterns of geopotential height related to anomalies in the reconstructed snow frequency series. Previous works have linked the precipitation in the central Andes to the ENSO through the Pacific South American mode. We also have found this connection between ENSO and the reconstructed precipitation. Finally, it is shown that the ENSO relationship is the cause of a significant link between the precipitation anomalies in the central Argentinean Andes and the ice extent around the Antarctic Peninsula.</t>
  </si>
  <si>
    <t>[Gallego, D.; Pena-Ortiz, C.] Univ Pablo Olavide, Dpto Sist Fis Quim &amp; Nat, Seville 41013, Spain; [Garcia-Herrera, R.] Univ Complutense Madrid, Fac Ciencias Fis, Dept Fis Tierra Aston &amp; Astrofis 2, E-28040 Madrid, Spain; [Prieto, R.] IANIGLA, Inst Nivol Glaciol &amp; Ciencias Ambientales, CRICYT, Mendoza, Argentina</t>
  </si>
  <si>
    <t>Universidad Pablo de Olavide; Complutense University of Madrid; University Nacional Cuyo Mendoza; Consejo Nacional de Investigaciones Cientificas y Tecnicas (CONICET)</t>
  </si>
  <si>
    <t>Peña-Ortiz, C (corresponding author), Univ Pablo Olavide, Dpto Sist Fis Quim &amp; Nat, Ctra Utrera Km 1, Seville 41013, Spain.</t>
  </si>
  <si>
    <t>cpenort@upo.es</t>
  </si>
  <si>
    <t>Ortiz, Cristina Peña/AAA-4543-2019; Gallego, David/F-4123-2016; Garcia-Herrera, Ricardo/ABE-4731-2020</t>
  </si>
  <si>
    <t>GARCIA HERRERA, RICARDO FRANCISCO/0000-0002-3845-7458; Gallego Puyol, David/0000-0002-2082-4125; Pena Ortiz, Cristina/0000-0002-5451-8521</t>
  </si>
  <si>
    <t>1814-9324</t>
  </si>
  <si>
    <t>1814-9332</t>
  </si>
  <si>
    <t>CLIM PAST</t>
  </si>
  <si>
    <t>Clim. Past.</t>
  </si>
  <si>
    <t>10.5194/cp-4-11-2008</t>
  </si>
  <si>
    <t>Geosciences, Multidisciplinary; Meteorology &amp; Atmospheric Sciences</t>
  </si>
  <si>
    <t>Geology; Meteorology &amp; Atmospheric Sciences</t>
  </si>
  <si>
    <t>269TK</t>
  </si>
  <si>
    <t>WOS:000253673000002</t>
  </si>
  <si>
    <t>Yin, QZ; Guo, ZT</t>
  </si>
  <si>
    <t>Yin, Q. Z.; Guo, Z. T.</t>
  </si>
  <si>
    <t>Strong summer monsoon during the cool MIS-13</t>
  </si>
  <si>
    <t>EURASIAN SNOW COVER; CLIMATE; LOESS; VARIABILITY; RECORD; CHINA; MA; PLEISTOCENE; SENSITIVITY; INSOLATION</t>
  </si>
  <si>
    <t>The delta O-18 record in deep-sea sediments show a significant reduced amplitude of the ice volume variations before Marine Isotope Stage 11, about 400 ka ago, with less warm interglacials and less cold glacials. The deuterium temperature and the greenhouse gases records in the Antarctic ice cores show the same feature. As the reduction in the amplitude of climate and greenhouse gases concentration variations before 400 ka BP is present in both deep-sea and ice cores, it is tempting to conclude that this is a worldwide phenomenon. This is not necessarily true, at least as far as some of the records, in particular of China and Europe, are concerned. The loess in northern China, the sedimentary core in the eastern Tibetan Plateau and the palaeosols in southern China all record an unusually warm and wet climate during Marine Isotope Stage 13, indicating an extremely strong East Asian summer monsoon. The pollen record from Europe shows that the climatic conditions during the interglacials previous to Marine Isotope Stage 11 are at least as warm as the younger interglacials. During Marine Isotope Stage 13, unusually strong African and Indian monsoon are recorded in the sediments of the equatorial Indian Ocean and of the Mediterranean Sea. Other extreme climate events are also recorded in sediment cores of the equatorial Atlantic, the Pacific, the subtropical South Atlantic Ocean and in the Lake Baikal of Siberia.</t>
  </si>
  <si>
    <t>[Yin, Q. Z.; Guo, Z. T.] Chinese Acad Sci, Inst Geol &amp; Geophys, Beijing 100029, Peoples R China; [Yin, Q. Z.] Catholic Univ Louvain, Inst Astron &amp; Gepphys G Lemaitre, B-1348 Louvain, Belgium</t>
  </si>
  <si>
    <t>Chinese Academy of Sciences; Institute of Geology &amp; Geophysics, CAS; Universite Catholique Louvain</t>
  </si>
  <si>
    <t>Yin, QZ (corresponding author), Chinese Acad Sci, Inst Geol &amp; Geophys, POB 9825, Beijing 100029, Peoples R China.</t>
  </si>
  <si>
    <t>yin@astr.ucl.ac.be</t>
  </si>
  <si>
    <t>Guo, Zhengtang/B-6854-2008</t>
  </si>
  <si>
    <t>Guo, Zhengtang/0000-0003-2259-9715; Yin, Qiuzhen/0000-0002-7189-8335</t>
  </si>
  <si>
    <t>10.5194/cp-4-29-2008</t>
  </si>
  <si>
    <t>WOS:000253673000004</t>
  </si>
  <si>
    <t>Svensson, A; Andersen, KK; Bigler, M; Clausen, HB; Dahl-Jensen, D; Davies, SM; Johnsen, SJ; Muscheler, R; Parrenin, F; Rasmussen, SO; Roethlisberger, R; Seierstad, I; Steffensen, JP; Vinther, BM</t>
  </si>
  <si>
    <t>Svensson, A.; Andersen, K. K.; Bigler, M.; Clausen, H. B.; Dahl-Jensen, D.; Davies, S. M.; Johnsen, S. J.; Muscheler, R.; Parrenin, F.; Rasmussen, S. O.; Roethlisberger, R.; Seierstad, I.; Steffensen, J. P.; Vinther, B. M.</t>
  </si>
  <si>
    <t>A 60 000 year Greenland stratigraphic ice core chronology</t>
  </si>
  <si>
    <t>MARINE ISOTOPE STAGE-3; CLIMATE OSCILLATIONS; AGE; CALIBRATION; RECORDS; GRIP; SYNCHRONIZATION; VARIABILITY; EVENTS; TEPHRA</t>
  </si>
  <si>
    <t>The Greenland Ice Core Chronology 2005 (GICC05) is a time scale based on annual layer counting of high-resolution records from Greenland ice cores. Whereas the Holocene part of the time scale is based on various records from the DYE-3, the GRIP, and the NorthGRIP ice cores, the glacial part is solely based on NorthGRIP records. Here we present an 18 ka extension of the time scale such that GICC05 continuously covers the past 60 ka. The new section of the time scale places the onset of Greenland Interstadial 12 (GI-12) at 46.9 +/- 1.0 ka b2k (before year AD 2000), the North Atlantic Ash Zone II layer in GI-15 at 55.4 +/- 1.2 ka b2k, and the onset of GI-17 at 59.4 +/- 1.3 ka b2k. The error estimates are derived from the accumulated number of uncertain annual layers. In the 40-60 ka interval, the new time scale has a discrepancy with the Meese-Sowers GISP2 time scale of up to 2.4 ka. Assuming that the Greenland climatic events are synchronous with those seen in the Chinese Hulu Cave speleothem record, GICC05 compares well to the time scale of that record with absolute age differences of less than 800 years throughout the 60 ka period. The new time scale is generally in close agreement with other independently dated records and reference horizons, such as the Laschamp geomagnetic excursion, the French Villars Cave and the Austrian Kleegruben Cave speleothem records, suggesting high accuracy of both event durations and absolute age estimates.</t>
  </si>
  <si>
    <t>[Svensson, A.; Andersen, K. K.; Bigler, M.; Clausen, H. B.; Dahl-Jensen, D.; Johnsen, S. J.; Rasmussen, S. O.; Seierstad, I.; Steffensen, J. P.; Vinther, B. M.] Univ Copenhagen, Niels Bohr Inst, Ctr Ice &amp; Climate, DK-2100 Copenhagen, Denmark; [Davies, S. M.] Univ Wales Swansea, Dept Geog, Swansea SA2 8PP, W Glam, Wales; [Muscheler, R.] Lund Univ, GeoBiosphere Sci Ctr, S-22362 Lund, Sweden; [Parrenin, F.] CNRS, Lab Glaciol &amp; Geophys Environm, Grenoble, France; [Parrenin, F.] Univ Grenoble 1, Grenoble, France; [Roethlisberger, R.] British Antarctic Survey, Cambridge CB3 0ET, England; [Vinther, B. M.] Univ E Anglia, Sch Environm Sci, Climat Res Unit, Norwich NR4 7TJ, Norfolk, England</t>
  </si>
  <si>
    <t>University of Copenhagen; Niels Bohr Institute; Swansea University; Lund University; Centre National de la Recherche Scientifique (CNRS); Communaute Universite Grenoble Alpes; Universite Grenoble Alpes (UGA); Communaute Universite Grenoble Alpes; Universite Grenoble Alpes (UGA); UK Research &amp; Innovation (UKRI); Natural Environment Research Council (NERC); NERC British Antarctic Survey; University of East Anglia</t>
  </si>
  <si>
    <t>Svensson, A (corresponding author), Univ Copenhagen, Niels Bohr Inst, Ctr Ice &amp; Climate, Juliane Maries Vej 30, DK-2100 Copenhagen, Denmark.</t>
  </si>
  <si>
    <t>as@gfy.ku.dk</t>
  </si>
  <si>
    <t>Rasmussen, Sune Olander/AAA-3190-2021; Bishnoi, Mamta/AAQ-8346-2021; Svensson, Anders/A-2643-2010; Dahl-Jensen, Dorthe/AAO-6951-2020; Bigler, Matthias/HTT-3872-2023; Steffensen, Jorgen Peder/JFS-7831-2023; Parrenin, Frédéric/H-3054-2014; Rasmussen, Sune/B-5560-2008; Davies, Siwan/E-6915-2011; Andersen, Katrine Krogh/B-4082-2016</t>
  </si>
  <si>
    <t>Rasmussen, Sune Olander/0000-0002-4177-3611; Bishnoi, Mamta/0000-0003-4987-0536; Svensson, Anders/0000-0002-4364-6085; Dahl-Jensen, Dorthe/0000-0002-1474-1948; Bigler, Matthias/0000-0003-0184-4013; Steffensen, Jorgen Peder/0000-0002-5516-1093; Parrenin, Frédéric/0000-0002-9489-3991; Muscheler, Raimund/0000-0003-2772-3631; Davies, Siwan/0000-0003-0999-7233; Andersen, Katrine Krogh/0000-0003-4178-2195; Vinther, Bo/0000-0002-6078-771X</t>
  </si>
  <si>
    <t>NorthGRIP; Carlsberg Foundation; Natural Environment Research Council [bas010016] Funding Source: researchfish; NERC [bas010016] Funding Source: UKRI</t>
  </si>
  <si>
    <t>NorthGRIP; Carlsberg Foundation(Carlsberg Foundation); Natural Environment Research Council(UK Research &amp; Innovation (UKRI)Natural Environment Research Council (NERC)); NERC(UK Research &amp; Innovation (UKRI)Natural Environment Research Council (NERC))</t>
  </si>
  <si>
    <t>This work is a contribution to the NorthGRIP ice core project, which is directed and organized by the Ice and Climate Research Group at the Niels Bohr Institute, University of Copenhagen. It is being supported by funding agencies in Denmark (SNF), Belgium (FNRS-CFB), France (IFRTP and INSU/CNRS), Germany (AWI), Iceland (RannIs), Japan (MEXT), Sweden (SPRS), Switzerland (SNF) and the United States of America (NSF). This work is also a contribution to the Copenhagen Ice Core Dating Initiative, which was supported by a grant from the Carlsberg Foundation.</t>
  </si>
  <si>
    <t>10.5194/cp-4-47-2008</t>
  </si>
  <si>
    <t>370JK</t>
  </si>
  <si>
    <t>WOS:000260758300001</t>
  </si>
  <si>
    <t>Köhler, P; Bintanja, R</t>
  </si>
  <si>
    <t>Koehler, P.; Bintanja, R.</t>
  </si>
  <si>
    <t>The carbon cycle during the Mid Pleistocene Transition: the Southern Ocean Decoupling Hypothesis</t>
  </si>
  <si>
    <t>ATMOSPHERIC CO2; ANTARCTIC CLIMATE; ICE VOLUME; DEEP-WATER; SEA-ICE; VARIABILITY; DELTA-C-13; CIRCULATION; CHEMISTRY; EVOLUTION</t>
  </si>
  <si>
    <t>Various hypotheses were proposed within recent years for the interpretation of the Mid Pleistocene Transition (MPT), which occurred during past 2 000 000 years (2 Myr). We here add to already existing theories on the MPT some data and model-based aspects focusing on the dynamics of the carbon cycle. We find that the average glacial/interglacial (G/IG) amplitudes in benthic delta C-13 derived from sediment cores in the deep Pacific ocean increased across the MPT by similar to 40%, while similar amplitudes in the global benthic delta O-18 stack LR04 increased by a factor of two over the same time interval. The global carbon cycle box model BICYCLE is used for the interpretation of these observed changes in the carbon cycle. Our simulation approach is based on regression analyses of various paleo-climatic proxies with the LR04 benthic delta O-18 stack over the last 740 kyr, which are then used to extrapolate changing climatic boundary conditions over the whole 2 Myr time window. The observed dynamics in benthic delta C-13 cannot be explained if similar relations between LR04 and the individual climate variables are assumed prior and after the MPT. According to our analysis a model-based reconstruction of G/IG amplitudes in deep Pacific delta C-13 before the MPT is possible if we assume a different response to the applied forcings in the Southern Ocean prior and after the MPT. This behaviour is what we call the Southern Ocean Decoupling Hypothesis. This decoupling might potentially be caused by a different cryosphere/ocean interaction and thus changes in the deep and bottom water formation rates in the Southern Ocean before the MPT, however an understanding from first principles remains elusive. Our hypothesis is also proposing dynamics in atmospheric pCO(2) over the past 2 Myr. Simulated pCO2 is varying between 180 and 260 mu atm before the MPT. The consequence of our Southern Ocean Decoupling Hypothesis is that the slope in the relationship between Southern Ocean SST and atmospheric pCO(2) is different before and after the MPT, something for which first indications already exist in the 800 kyr CO2 record from the EPICA Dome C ice core. We finally discuss how our findings are related to other hypotheses on the MPT.</t>
  </si>
  <si>
    <t>[Koehler, P.] Alfred Wegener Inst Polar &amp; Marine Res, POB 120161, D-27515 Bremerhaven, Germany; [Bintanja, R.] Royal Netherlands Meteorol Inst, KNMI, NL-3732 GK De Bilt, Netherlands</t>
  </si>
  <si>
    <t>Helmholtz Association; Alfred Wegener Institute, Helmholtz Centre for Polar &amp; Marine Research; Royal Netherlands Meteorological Institute</t>
  </si>
  <si>
    <t>Köhler, P (corresponding author), Alfred Wegener Inst Polar &amp; Marine Res, POB 120161, D-27515 Bremerhaven, Germany.</t>
  </si>
  <si>
    <t>peter.koehler@awi.de</t>
  </si>
  <si>
    <t>Köhler, Peter/F-7293-2010; IPO, PAGES/JXY-7546-2024</t>
  </si>
  <si>
    <t>Köhler, Peter/0000-0003-0904-8484; Bintanja, Richard/0000-0002-0465-5923</t>
  </si>
  <si>
    <t>10.5194/cp-4-311-2008</t>
  </si>
  <si>
    <t>393XV</t>
  </si>
  <si>
    <t>WOS:000262410700010</t>
  </si>
  <si>
    <t>Röthlisberger, R; Mudelsee, M; Bigler, M; de Angelis, M; Fischer, H; Hansson, M; Lambert, F; Masson-Delmotte, V; Sime, L; Udisti, R; Wolff, EW</t>
  </si>
  <si>
    <t>Roethlisberger, R.; Mudelsee, M.; Bigler, M.; de Angelis, M.; Fischer, H.; Hansson, M.; Lambert, F.; Masson-Delmotte, V.; Sime, L.; Udisti, R.; Wolff, E. W.</t>
  </si>
  <si>
    <t>The Southern Hemisphere at glacial terminations: insights from the Dome C ice core</t>
  </si>
  <si>
    <t>CENTER COUPLED MODEL; PAST 800,000 YEARS; SEA-SALT AEROSOL; CLIMATE VARIABILITY; FLUX ADJUSTMENTS; LATE PLEISTOCENE; ANTARCTICA; OCEAN; DUST; TRANSPORT</t>
  </si>
  <si>
    <t>The many different proxy records from the European Project for Ice Coring in Antarctica (EPICA) Dome C ice core allow for the first time a comparison of nine glacial terminations in great detail. Despite the fact that all terminations cover the transition from a glacial maximum into an interglacial, there are large differences between single terminations. For some terminations, Antarctic temperature increased only moderately, while for others, the amplitude of change at the termination was much larger. For the different terminations, the rate of change in temperature is more similar than the magnitude or duration of change. These temperature changes were accompanied by vast changes in dust and sea salt deposition all over Antarctica. Here we investigate the phasing between a South American dust proxy (non-sea-salt calcium flux, nssCa(2+)), a sea ice proxy (sea salt sodium flux, ssNa(+)) and a proxy for Antarctic temperature (deuterium, delta D). In particular, we look into whether a similar sequence of events applies to all terminations, despite their different characteristics. All proxies are derived from the EPICA Dome C ice core, resulting in a relative dating uncertainty between the proxies of less than 20 years. At the start of the terminations, the temperature (delta D) increase and dust (nssCa(2+) flux) decrease start synchronously. The sea ice proxy (ssNa(+) flux), however, only changes once the temperature has reached a particular threshold, approximately 5 degrees C below present day temperatures (corresponding to a delta D value of -420 parts per thousand). This reflects to a large extent the limited sensitivity of the sea ice proxy during very cold periods with large sea ice extent. At terminations where this threshold is not reached (TVI, TVIII), ssNa(+) flux shows no changes. Above this threshold, the sea ice proxy is closely coupled to the Antarctic temperature, and interglacial levels are reached at the same time for both ssNa(+) and delta D. On the other hand, once another threshold at approximately 2 degrees C below present day temperature is passed (corresponding to a delta D value of -402 parts per thousand), nssCa(2+) flux has reached interglacial levels and does not change any more, despite further warming. This threshold behaviour most likely results from a combination of changes to the threshold friction velocity for dust entrainment and to the distribution of surface wind speeds in the dust source region.</t>
  </si>
  <si>
    <t>[Roethlisberger, R.; Mudelsee, M.; Sime, L.; Wolff, E. W.] British Antarctic Survey, NERC, Cambridge, England; [Mudelsee, M.] Climate Risk Anal, Hannover, Germany; [Bigler, M.] Univ Copenhagen, Niels Bohr Inst, DK-1168 Copenhagen, Denmark; [de Angelis, M.] Lab Glaciol &amp; Geophys Environm, Grenoble, France; [Fischer, H.] Alfred Wegener Inst Polar &amp; Marine Res, D-2850 Bremerhaven, Germany; [Fischer, H.; Lambert, F.] Univ Bern, CH-3012 Bern, Switzerland; [Hansson, M.] Stockholm Univ, Dept Phys Geog &amp; Quaternary Geol, Stockholm, Sweden; [Masson-Delmotte, V.] Lab Sci Climat &amp; Environm, Gif Sur Yvette, France; [Udisti, R.] Univ Florence, Dept Chem, I-50121 Florence, Italy</t>
  </si>
  <si>
    <t>UK Research &amp; Innovation (UKRI); Natural Environment Research Council (NERC); NERC British Antarctic Survey; University of Copenhagen; Niels Bohr Institute; Communaute Universite Grenoble Alpes; Universite Grenoble Alpes (UGA); Helmholtz Association; Alfred Wegener Institute, Helmholtz Centre for Polar &amp; Marine Research; University of Bern; Stockholm University; CEA; Centre National de la Recherche Scientifique (CNRS); Universite Paris Saclay; University of Florence</t>
  </si>
  <si>
    <t>Roethlisberger, R (corresponding author), British Antarctic Survey, NERC, Cambridge, England.</t>
  </si>
  <si>
    <t>rro@bas.ac.uk</t>
  </si>
  <si>
    <t>Sime, Louise/AAX-7730-2021; Lambert, Fabrice/M-2003-2014; Masson-Delmotte, Valerie L/G-1995-2011; Bigler, Matthias/HTT-3872-2023; Sime, Louise/F-8058-2012; Bishnoi, Mamta/AAQ-8346-2021; Wolff, Eric W/D-7925-2014; IPO, PAGES/JXY-7546-2024; Udisti, Roberto/M-7966-2015; Mudelsee, Manfred/C-6063-2018; Fischer, Hubertus/A-1211-2014</t>
  </si>
  <si>
    <t>Sime, Louise/0000-0002-9093-7926; Lambert, Fabrice/0000-0002-2192-024X; Masson-Delmotte, Valerie L/0000-0001-8296-381X; Bigler, Matthias/0000-0003-0184-4013; Sime, Louise/0000-0002-9093-7926; Bishnoi, Mamta/0000-0003-4987-0536; Wolff, Eric W/0000-0002-5914-8531; Udisti, Roberto/0000-0003-4440-8238; Becagli, Silvia/0000-0003-3633-4849; Mudelsee, Manfred/0000-0002-2364-9561; Fischer, Hubertus/0000-0002-2787-4221</t>
  </si>
  <si>
    <t>EU</t>
  </si>
  <si>
    <t>EU(European Union (EU))</t>
  </si>
  <si>
    <t>This work is contribution No. 211 to the European Project for Ice Coring in Antarctica (EPICA), a joint European Science Foundation/European Commission scientific programme, funded by the EU and by national contributions from Belgium, Denmark, France, Germany, Italy, The Netherlands, Norway, Sweden, Switzerland and the UK. The main logistic support at Dome C was provided by IPEV and PNRA.</t>
  </si>
  <si>
    <t>10.5194/cp-4-345-2008</t>
  </si>
  <si>
    <t>Green Accepted, Green Submitted, gold, Green Published</t>
  </si>
  <si>
    <t>WOS:000262410700012</t>
  </si>
  <si>
    <t>Alekseev, GV; Kuzmina, SI; Nagurny, AP; Ivanov, NE</t>
  </si>
  <si>
    <t>Bronnimann, S; Luterbacher, J; Ewen, T; Diaz, HF; Stolarski, RS; Neu, U</t>
  </si>
  <si>
    <t>Alekseev, G. V.; Kuzmina, S. I.; Nagurny, A. P.; Ivanov, N. E.</t>
  </si>
  <si>
    <t>Arctic sea ice data sets in the context of climate change during the 20th century</t>
  </si>
  <si>
    <t>CLIMATE VARIABILITY AND EXTREMES DURING THE PAST 100 YEARS</t>
  </si>
  <si>
    <t>Advances in Global Change Research</t>
  </si>
  <si>
    <t>Workshop on Climate Variability and Extremes in the Past 100 Years</t>
  </si>
  <si>
    <t>JUL 24-26, 2006</t>
  </si>
  <si>
    <t>Thun, SWITZERLAND</t>
  </si>
  <si>
    <t>AIR-TEMPERATURE; OCEAN; EXTENT</t>
  </si>
  <si>
    <t>Available estimates of sea ice extent in the northern hemisphere cover the period from the early part of the 20th century to present day. We analyze changes in ice extent and thickness in the Arctic and its relation to surface air temperature over this period. Time series obtained from different data sets demonstrate better agreement after the 1950s and especially since 1979 with the onset of regular remote sensing observations from satellites. Statistics of time series show minima ice extent in August-September. Mean square deviations reach maxima in July-August. The distributions of trend coefficients show a more significant decrease of summer ice extent. Statistics of monthly ice extent in the Siberian Arctic seas show a similar distribution. September ice extent in the majority of the Siberian Arctic seas and in the Barents Sea reveal rapid shrinking during Arctic warmings in the 1920-1940s and 1990s. Significant correlation between surface air temperature and ice extent occurs in summer months with maximum in June under the influence of June maximum solar irradiation, and amplified by heat advection in the atmosphere and ice extent anomalies in the previous months. The relationship between variations of winter air temperature and ice extent is weaker because winter ice extent anomalies depend on air temperature anomalies as well as on the area occupied by a freshened upper layer. Good agreement between variations of the sum of summer air temperature in the marine Arctic and sea ice extent in September is found (correlation coefficient is 0.85). It confirms that summer melting plays the most important role in the sea ice volume decrease. The renewed observations in 2004-2005 at the Russian North Pole drifting stations revealed that the area-averaged perennial ice in the Arctic Basin decreased by 110 cm relative to the 1990 value. But the land-fast ice thickness in the Kara and Laptev Seas show an insignificant positive linear trend for 1934-2005 in agreement with the sum of winter air temperature. The negative trend of land-fast ice thickness becomes apparent starting from the 1970s.</t>
  </si>
  <si>
    <t>[Alekseev, G. V.; Nagurny, A. P.; Ivanov, N. E.] Arctic &amp; Antarctic Res Inst, St Petersburg, Russia; [Kuzmina, S. I.] Nansen Int Environm Remote Sening Ctr, St Petersburg, Russia</t>
  </si>
  <si>
    <t>Arctic &amp; Antarctic Research Institute</t>
  </si>
  <si>
    <t>Alekseev, GV (corresponding author), Arctic &amp; Antarctic Res Inst, St Petersburg, Russia.</t>
  </si>
  <si>
    <t>alexgv@aari.nw.ru; svetak4@yandex.ru; nagurny@aari.nw.ru; neivanov@aari.nw.ru</t>
  </si>
  <si>
    <t>Norwegian Ministry of Education and Research and Research Council of Norway [N179125/S30]; RFBR [06-05-64054]; INTAS [03-51-4620]</t>
  </si>
  <si>
    <t>Norwegian Ministry of Education and Research and Research Council of Norway; RFBR(Russian Foundation for Basic Research (RFBR)); INTAS(INTAS)</t>
  </si>
  <si>
    <t>The studies have been supported by the Norwegian Ministry of Education and Research and Research Council of Norway through the Projects N179125/S30, by RFBR (project 06-05-64054) and INTAS (grant 03-51-4620).</t>
  </si>
  <si>
    <t>1574-0919</t>
  </si>
  <si>
    <t>978-1-4020-6765-5</t>
  </si>
  <si>
    <t>ADV GLOB CHANGE RES</t>
  </si>
  <si>
    <t>Adv. Glob. Change Res.</t>
  </si>
  <si>
    <t>10.1007/978-1-4020-6766-2_3</t>
  </si>
  <si>
    <t>Environmental Sciences; Geosciences, Multidisciplinary; Meteorology &amp; Atmospheric Sciences</t>
  </si>
  <si>
    <t>Environmental Sciences &amp; Ecology; Geology; Meteorology &amp; Atmospheric Sciences</t>
  </si>
  <si>
    <t>BHL31</t>
  </si>
  <si>
    <t>WOS:000254027000003</t>
  </si>
  <si>
    <t>Langematz, U; Kunze, M</t>
  </si>
  <si>
    <t>Langematz, U.; Kunze, M.</t>
  </si>
  <si>
    <t>Dynamical changes in the Arctic and Antarctic stratosphere during spring</t>
  </si>
  <si>
    <t>ADVANCES IN GLOBAL CHANGE RESEARCH</t>
  </si>
  <si>
    <t>POLAR VORTEX; OZONE; TEMPERATURE; TRENDS; DEPLETION</t>
  </si>
  <si>
    <t>Short- and long-term changes in the intensity and persistence of the Arctic and Antarctic stratospheric polar vortices during spring have been analyzed, using NCEP/NCAR (National Centers for Environmental Prediction/National Center for Atmospheric Research) reanalyses. For the Arctic the results confirm the existence of low frequency variability in the winter stratosphere. During the 1980s and early to mid-1990s the northern hemisphere (NH) polar vortex was intensified in spring and broke up late. Since the late 1990s however, major stratospheric warmings occurred more frequently, so that the polar vortex in spring still intensified in March but with a smaller magnitude. As some of the major warmings occurred early in winter, the polar vortex was able to recover leading to late breakup dates in spite of the dynamical disturbances. In the long-term, there is no statistically significant change in Arctic vortex intensity or lifetime. In the Antarctic, the significant intensification of the polar vortex found in the 1980s and 1990s has been considerably reduced due to an unexpected enhancement of dynamical activity in southern hemisphere (SH) winter since 2000, masking the significant increase in polar vortex persistence found for the period 1979-1999. Still on the long-term, the Antarctic vortex shows a significant deepening and shift towards later spring transitions.</t>
  </si>
  <si>
    <t>[Langematz, U.; Kunze, M.] Free Univ Berlin, Inst Meteorol, D-1000 Berlin, Germany</t>
  </si>
  <si>
    <t>Free University of Berlin</t>
  </si>
  <si>
    <t>Langematz, U (corresponding author), Free Univ Berlin, Inst Meteorol, D-1000 Berlin, Germany.</t>
  </si>
  <si>
    <t>Kunze, Markus/0000-0002-9608-1823</t>
  </si>
  <si>
    <t>10.1007/978-1-4020-6766-2_20</t>
  </si>
  <si>
    <t>WOS:000254027000020</t>
  </si>
  <si>
    <t>Brasseur, GP</t>
  </si>
  <si>
    <t>Brasseur, G. P.</t>
  </si>
  <si>
    <t>Creating knowledge from the confrontation of observations and models: The case of stratospheric ozone</t>
  </si>
  <si>
    <t>VERTICAL-DISTRIBUTION; UPPER-ATMOSPHERE; ANTARCTIC OZONE; CHLORINE; NITROGEN; PROPAGATION; SATELLITE; CHEMISTRY; HEIGHT; SINK</t>
  </si>
  <si>
    <t>Through three examples taken from the history of ozone research, this paper illustrates that knowledge has been created by using simultaneously different approaches and methodologies, and by confronting the information resulting from laboratory studies, observational programs and modeling activities. New knowledge on chemical and dynamical processes in the atmosphere has been produced from detailed studies of the vertical and meridional ozone distributions in the stratosphere, and from investigations on the cause of the formation of the Antarctic ozone hole.</t>
  </si>
  <si>
    <t>[Brasseur, G. P.] Natl Ctr Atmospher Res, POB 3000, Boulder, CO 80307 USA</t>
  </si>
  <si>
    <t>National Center Atmospheric Research (NCAR) - USA</t>
  </si>
  <si>
    <t>Brasseur, GP (corresponding author), Natl Ctr Atmospher Res, POB 3000, Boulder, CO 80307 USA.</t>
  </si>
  <si>
    <t>brasseur@ucar.edu</t>
  </si>
  <si>
    <t>10.1007/978-1-4020-6766-2_21</t>
  </si>
  <si>
    <t>WOS:000254027000021</t>
  </si>
  <si>
    <t>Dimitrova, S; Pavlova, K; Lukanov, L; Savova, I</t>
  </si>
  <si>
    <t>Dimitrova, Stela; Pavlova, Kostantsa; Lukanov, Ludmil; Savova, Irina</t>
  </si>
  <si>
    <t>Chemical composition of lipids and other lipophilic compounds from Antarctic yeast strains</t>
  </si>
  <si>
    <t>COMPTES RENDUS DE L ACADEMIE BULGARE DES SCIENCES</t>
  </si>
  <si>
    <t>Antarctica; yeasts; lipids; beta-carotene</t>
  </si>
  <si>
    <t>LIVINGSTON ISLAND</t>
  </si>
  <si>
    <t>The composition of lipids and other lipophilic compounds from psychrophilic yeast strains isolated from Antarctic samples on the territory of the Bulgarian base on Livingston Island was studied. Rhodotorula glutinis AL(107) and Sporobolomyces roseus AL(108) strains exhibited the highest content of total lipids in the biomass: 12.8% and 12.0%, sterols: 1228 and 1823 mu g/g, and phospholipids: 3.2 and 4.5 mg/g. Cryptococcus albidus AS(55), Cryptococcus laurentii AS(56), and Cryptococcus laurentii AS(58) were identified according to their morphological and cultural characteristics, physiological and biochemical properties. They produced high amounts of beta-carotene: 5.6, 5.9 and 6.1 mu g/g. The unsaturated fatty acids were found to be within the 58.8-74.5% range for all investigated strains. Besides the main phosphatidylcholine, phosphatidylethanolamine and their lyso derivatives minor amounts of monophosphatidylglycerol, diphosphatidylglycerol, sphingomyelin and phosphatidic acids were detected.</t>
  </si>
  <si>
    <t>[Dimitrova, Stela; Lukanov, Ludmil] Med Univ, Dept Chem &amp; Biochem, Plovdiv 4002, Bulgaria; [Pavlova, Kostantsa] Bulgarian Acad Sci, Inst Microbiol, Plovdiv 4000, Bulgaria; [Savova, Irina] Natl Bank Ind Microorganisms &amp; Cell Cultures, Sofia 1113, Bulgaria</t>
  </si>
  <si>
    <t>Medical University Plovdiv; Bulgarian Academy of Sciences; Medical University Plovdiv; National Bank for Industrial Microorganisms &amp; Cell Cultures (NBIMCC)</t>
  </si>
  <si>
    <t>Dimitrova, S (corresponding author), Med Univ, Dept Chem &amp; Biochem, 15A V Aprilov Blvd, Plovdiv 4002, Bulgaria.</t>
  </si>
  <si>
    <t>Dimitrova, Stela/0000-0001-5831-2574</t>
  </si>
  <si>
    <t>PUBL HOUSE BULGARIAN ACAD SCI</t>
  </si>
  <si>
    <t>ACADEMICIAN G BONCEV ST, 1113 SOFIA, BULGARIA</t>
  </si>
  <si>
    <t>1310-1331</t>
  </si>
  <si>
    <t>CR ACAD BULG SCI</t>
  </si>
  <si>
    <t>C. R. Acad. Bulg. Sci.</t>
  </si>
  <si>
    <t>305XM</t>
  </si>
  <si>
    <t>WOS:000256211100009</t>
  </si>
  <si>
    <t>Engel, MH; Fagundes, NJR; Rosenbaum, HC; Leslie, MS; Ott, PH; Schmitt, R; Secchi, E; Dalla Rosa, L; Bonatto, SL</t>
  </si>
  <si>
    <t>Engel, Marcia H.; Fagundes, Nelson J. R.; Rosenbaum, Howard C.; Leslie, Matthew S.; Ott, Paulo H.; Schmitt, Renata; Secchi, Eduardo; Dalla Rosa, Luciano; Bonatto, Sandro Luis</t>
  </si>
  <si>
    <t>Mitochondrial DNA diversity of the Southwestern Atlantic humpback whale (Megaptera novaeangliae) breeding area off Brazil, and the potential connections to Antarctic feeding areas</t>
  </si>
  <si>
    <t>CONSERVATION GENETICS</t>
  </si>
  <si>
    <t>humpback whale; mitochondrial DNA; Abrolhos Bank; Antarctic Peninsula; genetic diversity; Megaptera novaeangliae</t>
  </si>
  <si>
    <t>POPULATION-STRUCTURE</t>
  </si>
  <si>
    <t>In the Southwestern Atlantic Ocean, humpback whales migrate every winter to the Brazilian coast for breeding and calving in the Abrolhos Bank. This breeding stock represents the remnants of a larger population heavily exploited during the beginning of the 20th century. Despite its relevance to conservation efforts, the degree of current genetic variation and the migratory relationship with Antarctic feeding areas for this population are still largely unknown. To examine these questions, we sequenced similar to 400 bp of the mitochondrial DNA control region from samples taken off the Brazilian coast (n = 171) and near the Antarctic Peninsula (n = 77). The genetic variability of the Brazilian humpback whale breeding population was high and similar to that found in other Southern Hemisphere breeding grounds. Phylogenetic analysis suggested the existence of a new mitochondrial clade that exists at low frequency among Southern Hemisphere populations. Direct comparison between the Brazilian and the Colombia breeding populations and the Antarctic Peninsula feeding population showed no genetic differentiation between this feeding region and the Colombian breeding area or between feeding Areas I and II near the Antarctic Peninsula. In contrast, these populations were genetically distinct from the Brazilian population. Two humpback whales sampled off South Georgia Islands, in the Scotia Sea, shared identical haplotypes to whales from Brazil, Our results, supported by photo-identification and satellite telemetry data, suggest that the main feeding area of the Southern Hemisphere humpback whale population is likely to be located near the South Georgia/South Sandwich Islands area and not in the Antarctic Peninsula.</t>
  </si>
  <si>
    <t>[Engel, Marcia H.; Fagundes, Nelson J. R.; Schmitt, Renata; Bonatto, Sandro Luis] Pontificia Univ Catolica Rio Grande do Sul, Fac Biociencias, BR-90619900 Porto Alegre, RS, Brazil; [Engel, Marcia H.] Humpback Whale Inst, Inst Baleia Jubarte, BR-45900000 Caravelas, BA, Brazil; [Rosenbaum, Howard C.; Leslie, Matthew S.] Int Conservat Marine, Cetaccan Conservat &amp; Res Program, Wildlife Conservat Soc, Bronx, NY 10460 USA; [Rosenbaum, Howard C.; Leslie, Matthew S.] Amer Museum Nat Hist, Sackler Inst Comparat Genom, New York, NY 10024 USA; [Rosenbaum, Howard C.; Leslie, Matthew S.] Ctr Biodivers &amp; Conservat, New York, NY 10024 USA; [Ott, Paulo H.] Grp Estudos Mamiferos Aquat Rio Grande Sul, BR-90440150 Porto Alegre, RS, Brazil; [Secchi, Eduardo; Dalla Rosa, Luciano] Projeto Baleias Brazilian Antarctic Program, Rio Grande, RS, Brazil; [Secchi, Eduardo] Fundacao Univ Fed Rio Grande, Lab Mamiferos Marinhos, Museu Oceanog Prof Eliezer C Rios, BR-96200970 Rio Grande, RS, Brazil; [Dalla Rosa, Luciano] Univ British Columbia, Dept Zool, Vancouver, BC V6T 1Z4, Canada; [Dalla Rosa, Luciano] Univ British Columbia, Marine Mammal Res Unit, Fisheries Ctr, Vancouver, BC V6T 1Z4, Canada</t>
  </si>
  <si>
    <t>Pontificia Universidade Catolica Do Rio Grande Do Sul; Wildlife Conservation Society; American Museum of Natural History (AMNH); Universidade Federal do Rio Grande; University of British Columbia; University of British Columbia</t>
  </si>
  <si>
    <t>Bonatto, SL (corresponding author), Pontificia Univ Catolica Rio Grande do Sul, Fac Biociencias, Av Ipiranga 6681, BR-90619900 Porto Alegre, RS, Brazil.</t>
  </si>
  <si>
    <t>slbonatto@puers.br</t>
  </si>
  <si>
    <t>Ott, Paulo Henrique/IWE-1400-2023; Schmitt, Renata/KGM-9040-2024; Bonatto, Sandro L/A-1240-2010; Secchi, Eduardo R./ABF-1191-2020; Rosa, Luciano Dalla/D-5660-2012; Secchi, Eduardo/D-5038-2013; Fagundes, Nelson/F-7490-2014</t>
  </si>
  <si>
    <t>Secchi, Eduardo R./0000-0001-9087-9909; Rosa, Luciano Dalla/0000-0002-1583-6471; Secchi, Eduardo/0000-0001-9087-9909; Bonatto, Sandro/0000-0002-0064-467X; Fagundes, Nelson/0000-0003-0456-0323</t>
  </si>
  <si>
    <t>Petroleo Brasileiro S.A. (PETROBRAS); CNPq; Marinha do Brasil; Secretaria da Comissao Interministerial para os Recursos do Mar; Ministerio do Meio Ambiente; American Museum of Natural History; FAPERGS; CAPES [BEX1339/02-8]</t>
  </si>
  <si>
    <t>Petroleo Brasileiro S.A. (PETROBRAS)(Fundacao de Amparo a Pesquisa do Amapa (FAPEAP)Petrobras); CNPq(Conselho Nacional de Desenvolvimento Cientifico e Tecnologico (CNPQ)); Marinha do Brasil; Secretaria da Comissao Interministerial para os Recursos do Mar; Ministerio do Meio Ambiente; American Museum of Natural History; FAPERGS(Fundacao de Amparo a Ciencia e Tecnologia do Estado do Rio Grande do Sul (FAPERGS)); CAPES(Coordenacao de Aperfeicoamento de Pessoal de Nivel Superior (CAPES))</t>
  </si>
  <si>
    <t>We thank the staff of Instituto Baleia Jubarte/ Humpback Whale Institute-Brazil, Projeto Baleias/PROANTAR (Paul G. Kinas, Manuela Bassoi, Marcos C. O. Santos, Paulo A. C. Flores and Daniel Danilewicz) and colleagues of the Centro de Biologia Genomica e Molecular/PUCRS for their help in field and lab activities. We thank C. Olavarria and colleagues for sharing the information that resulted on our joint discovery of the SH clade and especially to CO for reviewing a preliminary version of the manuscript. We are also indebted to Cristina Pomilla. Thales R. O. de Freitas. Larissa Heinzelmann, Aria Johnson and Bradley White for their important contributions in the lab and to Dr. Anthony Martin for his support of the South Georgia IBJ Expedition. We would also like to thank Per Palsboll and two anonymous reviewers for their comments and suggestions on an earlier version of this paper. This study was done in partnership with IBAMA (Brazil), the Wildlife Conservation Society, and the American Museum of Natural History[USA. Instituto Baleia Jubarte was sponsored by Petroleo Brasileiro S.A. (PETROBRAS). Data regarding South Georgia samples are result of a partnership between Centro de Pesquisas Leopoldo M. de Mello - PETROBRAS and Instituto Baleia Jubarte-Brazil. through the Marine Mammal and Turtle Project. Projeto Baleias/PROANTAR acknowledges CNPq, Marinha do Brasil. Secretaria da Comissao Interministerial para os Recursos do Mar and Ministerio do Meio Ambiente for their support. MHE was also supported by a Lerner-Grey fellowship from the American Museum of Natural History, and sequencing and analysis of some Brazilian samples by grants to HCR. SLB received grants from FAPERGS and CNPq. LDR was supported by CAPES (Grant BEX1339/02-8).</t>
  </si>
  <si>
    <t>1566-0621</t>
  </si>
  <si>
    <t>1572-9737</t>
  </si>
  <si>
    <t>CONSERV GENET</t>
  </si>
  <si>
    <t>Conserv. Genet.</t>
  </si>
  <si>
    <t>10.1007/s10592-007-9453-5</t>
  </si>
  <si>
    <t>Biodiversity Conservation; Genetics &amp; Heredity</t>
  </si>
  <si>
    <t>Biodiversity &amp; Conservation; Genetics &amp; Heredity</t>
  </si>
  <si>
    <t>348FC</t>
  </si>
  <si>
    <t>WOS:000259195400015</t>
  </si>
  <si>
    <t>Leese, F; Held, C</t>
  </si>
  <si>
    <t>Leese, Florian; Held, Christoph</t>
  </si>
  <si>
    <t>Identification and characterization of microsatellites from the Antarctic isopod Ceratoserolis trilobitoides:: nuclear evidence for cryptic species</t>
  </si>
  <si>
    <t>Southern Ocean; benthos; serolidae; cryptic species; microsatellite isolation; population genetics</t>
  </si>
  <si>
    <t>WEDDELL SEA; CRUSTACEA; SPECIATION; PENINSULA; PROGRAM; LOCI</t>
  </si>
  <si>
    <t>We report the successful isolation of 10 polymorphic microsatellite markers for one species of the marine isopod species complex Ceratoserolis trilobitoides (Eights, 1833) from the Southern Ocean. The number of alleles per locus ranged from 6 to 30 for the 148 specimens analysed and heterozygosity ranged from 0.34 to 0.98. Seven microsatellites amplified successfully in a cryptic sister species, which is restricted to the Antarctic Peninsula. This novel marker set provides the opportunity to study and monitor population structure, demography and gene flow patterns for a benthic model taxon in a region that is now subject to rapid climate change.</t>
  </si>
  <si>
    <t>[Leese, Florian; Held, Christoph] Alfred Wegener Inst Polar &amp; Marine Res, D-27515 Bremerhaven, Germany; [Leese, Florian] Ruhr Univ Bochum, Dept Anim Ecol Evolut &amp; Biodivers, D-44780 Bochum, Germany</t>
  </si>
  <si>
    <t>Helmholtz Association; Alfred Wegener Institute, Helmholtz Centre for Polar &amp; Marine Research; Ruhr University Bochum</t>
  </si>
  <si>
    <t>Leese, F (corresponding author), Alfred Wegener Inst Polar &amp; Marine Res, POB 12 0161, D-27515 Bremerhaven, Germany.</t>
  </si>
  <si>
    <t>florian.leese@awi.de</t>
  </si>
  <si>
    <t>Leese, Florian/D-4277-2012</t>
  </si>
  <si>
    <t>Leese, Florian/0000-0002-5465-913X</t>
  </si>
  <si>
    <t>DFG [HE-3391/3]</t>
  </si>
  <si>
    <t>DFG(German Research Foundation (DFG))</t>
  </si>
  <si>
    <t>We thank Wolfgang Wagele (Museum Koenig. Bonn, Germany) and Tilman Alpermann (AWI Bremerhaven, Germany) for helpful discussions and Andrea Eschbach for technical assistance. Anna Kop (York University, Toronto, Canada) proofread an earlier version of the manuscript. This work was supported by a DFG grant HE-3391/3 to Christoph Held.</t>
  </si>
  <si>
    <t>10.1007/s10592-007-9491-z</t>
  </si>
  <si>
    <t>WOS:000259195400035</t>
  </si>
  <si>
    <t>Dodds, K</t>
  </si>
  <si>
    <t>Dodds, Klaus</t>
  </si>
  <si>
    <t>The Great Game in Antarctica: Britain and the 1959 Antarctic Treaty</t>
  </si>
  <si>
    <t>CONTEMPORARY BRITISH HISTORY</t>
  </si>
  <si>
    <t>British Foreign And Colonial Policy; Antarctica; Decolonisation; Geopolitics</t>
  </si>
  <si>
    <t>This article is concerned with Britain's political and territorial interests in the Antarctic in the first half of the twentieth century, culminating in the signing of the 1959 Antarctic Treaty. Using in part the diaries of a Foreign Office advisor, Dr Brian Roberts, attention is given as to how successive British governments and their officials sustained a presence in the remote polar continent. Rival claimants in the form of Argentina and Chile made the task all the more difficult. Mapping and surveying were essential in maintaining British sovereignty even if the end results were at times disappointing. The article concludes by suggesting that the Antarctic Treaty, while important in promoting international scientific collaboration, did not manage to resolve the political and territorial disputes surrounding the Antarctic. Arguably, the 1982 Falklands War and its aftermath provided a vivid reminder that Britain's most southerly possessions still remain deeply contested.</t>
  </si>
  <si>
    <t>Univ London, Dept Geog, Egham TW20 0EX, Surrey, England</t>
  </si>
  <si>
    <t>University of London; Royal Holloway University London</t>
  </si>
  <si>
    <t>Dodds, K (corresponding author), Univ London, Dept Geog, Egham TW20 0EX, Surrey, England.</t>
  </si>
  <si>
    <t>k.dodds@rhul.ac.uk</t>
  </si>
  <si>
    <t>1361-9462</t>
  </si>
  <si>
    <t>CONTEMP BR HIST</t>
  </si>
  <si>
    <t>Contemp. Br. Hist.</t>
  </si>
  <si>
    <t>10.1080/03004430601065781</t>
  </si>
  <si>
    <t>History</t>
  </si>
  <si>
    <t>Arts &amp; Humanities Citation Index (A&amp;HCI)</t>
  </si>
  <si>
    <t>441PG</t>
  </si>
  <si>
    <t>WOS:000265780500003</t>
  </si>
  <si>
    <t>Rebesco, M; Camerlenghi, A</t>
  </si>
  <si>
    <t>Rebesco, Michele; Camerlenghi, Angelo</t>
  </si>
  <si>
    <t>CONTOURITES PREFACE</t>
  </si>
  <si>
    <t>CONTOURITES</t>
  </si>
  <si>
    <t>Developments in Sedimentology</t>
  </si>
  <si>
    <t>ANTARCTIC BOTTOM WATER; ATLANTIC DEEP-WATER; CURRENT-CONTROLLED SEDIMENTATION; WESTERN BOUNDARY CURRENT; NORTHERN ROCKALL TROUGH; MEDITERRANEAN OUTFLOW WATER; NORWEGIAN-SEA OVERFLOW; UPPER CRETACEOUS CHALK; SOUTH CHINA SEA; GULF-OF-MEXICO</t>
  </si>
  <si>
    <t>[Rebesco, Michele] Ist Nazl Oceanog &amp; Geofis Sperimentale OGS, Borgo Grotta Gigante 42-C, I-34010 Sgonico, TS, Italy; [Camerlenghi, Angelo] Univ Barcelona, Dept Estratig Paleontol &amp; Geociencies Marines, GRC Geociencies Marines, ICREA, E-08028 Barcelona, Spain</t>
  </si>
  <si>
    <t>Istituto Nazionale di Oceanografia e di Geofisica Sperimentale; University of Barcelona; ICREA</t>
  </si>
  <si>
    <t>Rebesco, M (corresponding author), Ist Nazl Oceanog &amp; Geofis Sperimentale OGS, Borgo Grotta Gigante 42-C, I-34010 Sgonico, TS, Italy.</t>
  </si>
  <si>
    <t>mrebesco@ogs.trieste.it; acamerlenghi@ub.edu</t>
  </si>
  <si>
    <t>Rebesco, Michele/B-7462-2014; Camerlenghi, Angelo/O-1593-2013; Camerlenghi, Angelo/AAG-3852-2019</t>
  </si>
  <si>
    <t>Rebesco, Michele/0000-0002-9492-4081; Camerlenghi, Angelo/0000-0002-8128-9533; Camerlenghi, Angelo/0000-0002-8128-9533</t>
  </si>
  <si>
    <t>ICREA Funding Source: Custom</t>
  </si>
  <si>
    <t>ICREA(ICREA)</t>
  </si>
  <si>
    <t>0070-4571</t>
  </si>
  <si>
    <t>978-0-08-093186-9; 978-0-444-52998-5</t>
  </si>
  <si>
    <t>DEVEL SEDIM</t>
  </si>
  <si>
    <t>XVII</t>
  </si>
  <si>
    <t>BHS81</t>
  </si>
  <si>
    <t>WOS:000326587500001</t>
  </si>
  <si>
    <t>De Berg, WJV; van den Broeke, MR; van Meijgaard, E</t>
  </si>
  <si>
    <t>De Berg, W. J. van; van den Broeke, M. R.; van Meijgaard, E.</t>
  </si>
  <si>
    <t>Spatial structures in the heat budget of the Antarctic atmospheric boundary layer</t>
  </si>
  <si>
    <t>CRYOSPHERE</t>
  </si>
  <si>
    <t>Output from the regional climate model RACMO2/ANT is used to calculate the heat budget of the Antarctic atmospheric boundary layer (ABL). The main feature of the wintertime Antarctic ABL is a persistent temperature deficit compared to the free atmosphere. The magnitude of this deficit is controlled by the heat budget. During winter, transport of heat towards the surface by turbulence and net longwave emission are the primary ABL cooling terms. These processes show horizontal spatial variability only on continental scales. Vertical and horizontal, i.e. along-slope, advection of heat are the main warming terms. Over regions with convex ice sheet topography, i.e. domes and ridges, warming by downward vertical advection is enhanced due to divergence of the ABL wind field. Horizontal advection balances excess warming caused by vertical advection, hence the temperature deficit in the ABL weakens over domes and ridges along the prevailing katabatic wind. Conversely, vertical advection is reduced in regions with concave topography, i.e. valleys, where the ABL temperature deficit enlarges along the katabatic wind. Along the coast, horizontal and vertical advection is governed by the inability of the large-scale circulation to adapt to small scale topographic features. Meso-scale topographic structures have thus a strong impact on the ABL winter temperature, besides latitude and surface elevation. During summer, this mechanism is much weaker, and the horizontal variability of ABL temperatures is smaller.</t>
  </si>
  <si>
    <t>[De Berg, W. J. van; van den Broeke, M. R.] Univ Utrecht, IMAU, Utrecht, Netherlands; [van Meijgaard, E.] KNMI, De Bilt, Netherlands</t>
  </si>
  <si>
    <t>Utrecht University; Royal Netherlands Meteorological Institute</t>
  </si>
  <si>
    <t>De Berg, WJV (corresponding author), Univ Utrecht, IMAU, Utrecht, Netherlands.</t>
  </si>
  <si>
    <t>w.j.vandeberg@phys.uu.nl</t>
  </si>
  <si>
    <t>van de Berg, Willem Jan/H-4385-2011; Van den Broeke, Michiel R./F-7867-2011</t>
  </si>
  <si>
    <t>van de Berg, Willem Jan/0000-0002-8232-2040; Van den Broeke, Michiel R./0000-0003-4662-7565</t>
  </si>
  <si>
    <t>1994-0416</t>
  </si>
  <si>
    <t>1994-0424</t>
  </si>
  <si>
    <t>Cryosphere</t>
  </si>
  <si>
    <t>V11AS</t>
  </si>
  <si>
    <t>WOS:000207505100001</t>
  </si>
  <si>
    <t>Gudmundsson, GH</t>
  </si>
  <si>
    <t>Gudmundsson, G. H.</t>
  </si>
  <si>
    <t>Analytical solutions for the surface response to small amplitude perturbations in boundary data in the shallow-ice-stream approximation</t>
  </si>
  <si>
    <t>GLACIERS; FLOW</t>
  </si>
  <si>
    <t>New analytical solutions describing the effects of small-amplitude perturbations in boundary data on flow in the shallow-ice-stream approximation are presented. These solutions are valid for a non-linear Weertman-type sliding law and for Newtonian ice rheology. Comparison is made with corresponding solutions of the shallow-ice-sheet approximation, and with solutions of the full Stokes equations. The shallow-ice-stream approximation is commonly used to describe large-scale ice stream flow over a weak bed, while the shallow-ice-sheet approximation forms the basis of most current large-scale ice sheet models. It is found that the shallow-ice-stream approximation overestimates the effects of bed topography perturbations on surface profile for wavelengths less than about 5 to 10 ice thicknesses, the exact number depending on values of surface slope and slip ratio. For high slip ratios, the shallow-ice-stream approximation gives a very simple description of the relationship between bed and surface topography, with the corresponding transfer amplitudes being close to unity for any given wavelength. The shallow-ice-stream estimates for the timescales that govern the transient response of ice streams to external perturbations are considerably more accurate than those based on the shallow-ice-sheet approximation. In particular, in contrast to the shallow-ice-sheet approximation, the shallow-ice-stream approximation correctly reproduces the short-wavelength limit of the kinematic phase speed given by solving a linearised version of the full Stokes system. In accordance with the full Stokes solutions, the shallow-ice-sheet approximation predicts surface fields to react weakly to spatial variations in basal slipperiness with wavelengths less than about 10 to 20 ice thicknesses.</t>
  </si>
  <si>
    <t>British Antarctic Survey, Cambridge CB2 0ET, England</t>
  </si>
  <si>
    <t>Gudmundsson, GH (corresponding author), British Antarctic Survey, Madingley Rd, Cambridge CB2 0ET, England.</t>
  </si>
  <si>
    <t>ghg@bas.ac.uk</t>
  </si>
  <si>
    <t>Gudmundsson, Gudmundur Hilmar/F-6499-2012; Gudmundsson, Gudmundur Hilmar/AAU-5987-2020</t>
  </si>
  <si>
    <t>Gudmundsson, Gudmundur Hilmar/0000-0003-4236-5369; Gudmundsson, Gudmundur Hilmar/0000-0003-4236-5369</t>
  </si>
  <si>
    <t>10.5194/tc-2-77-2008</t>
  </si>
  <si>
    <t>V11AT</t>
  </si>
  <si>
    <t>Green Submitted, Green Accepted, gold</t>
  </si>
  <si>
    <t>WOS:000207505200001</t>
  </si>
  <si>
    <t>Pattyn, F; Perichon, L; Aschwanden, A; Breuer, B; de Smedt, B; Gagliardini, O; Gudmundsson, GH; Hindmarsh, RCA; Hubbard, A; Johnson, JV; Kleiner, T; Konovalov, Y; Martin, C; Payne, AJ; Pollard, D; Price, S; Rückamp, M; Saito, F; Soucek, O; Sugiyama, S; Zwinger, T</t>
  </si>
  <si>
    <t>Pattyn, F.; Perichon, L.; Aschwanden, A.; Breuer, B.; de Smedt, B.; Gagliardini, O.; Gudmundsson, G. H.; Hindmarsh, R. C. A.; Hubbard, A.; Johnson, J. V.; Kleiner, T.; Konovalov, Y.; Martin, C.; Payne, A. J.; Pollard, D.; Price, S.; Rueckamp, M.; Saito, F.; Soucek, O.; Sugiyama, S.; Zwinger, T.</t>
  </si>
  <si>
    <t>Benchmark experiments for higher-order and full-Stokes ice sheet models (ISMIP-HOM)</t>
  </si>
  <si>
    <t>SUBGLACIAL LAKES; FLOW; GLACIER; SENSITIVITY; VELOCITY; SURFACE; STRESS; FIELDS</t>
  </si>
  <si>
    <t>We present the results of the first ice sheet model intercomparison project for higher-order and full-Stokes ice sheet models. These models are compared and verified in a series of six experiments of which one has an analytical solution obtained from a perturbation analysis. The experiments are applied to both 2-D and 3-D geometries; five experiments are steady-state diagnostic, and one has a time-dependent prognostic solution. All participating models give results that are in close agreement. A clear distinction can be made between higher-order models and those that solve the full system of equations. The full-Stokes models show a much smaller spread, hence are in better agreement with one another and with the analytical solution.</t>
  </si>
  <si>
    <t>[Pattyn, F.; Perichon, L.] Univ Libre Bruxelles, Lab Glaciol, B-1050 Brussels, Belgium; [Aschwanden, A.] Swiss Fed Inst Technol, Inst Atmospher &amp; Climate Sci, CH-8092 Zurich, Switzerland; [Breuer, B.; Kleiner, T.; Rueckamp, M.] Univ Munster, Inst Geophys, D-48149 Munster, Germany; [de Smedt, B.] Vrije Univ Brussel, Vakgrp Geog, B-1050 Brussels, Belgium; [Gagliardini, O.] UJF Grenoble I, LGGE, F-38402 St Martin Dheres, France; [Gudmundsson, G. H.; Hindmarsh, R. C. A.; Martin, C.] British Antarctic Survey, NERC, Phys Sci Div, Cambridge CB3 0ET, England; [Hubbard, A.] Aberystwyth Univ, Ctr Glaciol, Inst Geog &amp; Earth Sci, Ceredigion SY23 3DP, Wales; [Johnson, J. V.] Univ Montana, Dept Comp Sci, Missoula, MT 59812 USA; [Konovalov, Y.] Moscow Engn Phys Inst, Moscow 115409, Russia; [Payne, A. J.; Price, S.] Univ Bristol, Sch Geog Sci, Bristol Glaciol Ctr, Bristol BS8 1SS, Avon, England; [Pollard, D.] Penn State Univ, Coll Earth &amp; Mineral Sci, Earth &amp; Environm Syst Inst, University Pk, PA 16802 USA; [Saito, F.] Frontier Res Ctr Global Change, Kanazawa Ku, Yokohama, Kanagawa 2360001, Japan; [Soucek, O.] Charles Univ Prague, Dept Geophys, Prague 18000 8, Czech Republic; [Sugiyama, S.] Hokkaido Univ, Inst Low Temp Sci, Sapporo, Hokkaido 0600819, Japan; [Zwinger, T.] CSC Sci Comp Ltd, Espoo 02101, Finland</t>
  </si>
  <si>
    <t>Universite Libre de Bruxelles; Swiss Federal Institutes of Technology Domain; ETH Zurich; University of Munster; Vrije Universiteit Brussel; Communaute Universite Grenoble Alpes; Universite Grenoble Alpes (UGA); UK Research &amp; Innovation (UKRI); Natural Environment Research Council (NERC); NERC British Antarctic Survey; Aberystwyth University; University of Montana System; University of Montana; National Research Nuclear University MEPhI (Moscow Engineering Physics Institute); University of Bristol; Pennsylvania Commonwealth System of Higher Education (PCSHE); Pennsylvania State University; Pennsylvania State University - University Park; Japan Agency for Marine-Earth Science &amp; Technology (JAMSTEC); Charles University Prague; Hokkaido University; Finnish IT center for science</t>
  </si>
  <si>
    <t>Pattyn, F (corresponding author), Univ Libre Bruxelles, Lab Glaciol, CP160-03,Av Roosevelt 50, B-1050 Brussels, Belgium.</t>
  </si>
  <si>
    <t>fpattyn@ulb.ac.be</t>
  </si>
  <si>
    <t>Gudmundsson, Gudmundur Hilmar/AAU-5987-2020; Gagliardini, Olivier/GQQ-1222-2022; Gudmundsson, Gudmundur Hilmar/F-6499-2012; Souček, Ondřej/K-3466-2017; Hindmarsh, Richard/N-1195-2019; SAITO, Fuyuki/B-8776-2013; Sugiyama, Shin/C-2511-2012; Kleiner, Thomas/F-6821-2015; Pattyn, Frank/AAA-9640-2019; Martin, Carlos/S-2778-2018; payne, antony/A-8916-2008; Zwinger, Thomas/H-5163-2018; Hubbard, Alun/R-5085-2017; Price, Stephen/E-1568-2013</t>
  </si>
  <si>
    <t>Gudmundsson, Gudmundur Hilmar/0000-0003-4236-5369; Gagliardini, Olivier/0000-0001-9162-3518; Gudmundsson, Gudmundur Hilmar/0000-0003-4236-5369; Souček, Ondřej/0000-0002-6515-5420; Hindmarsh, Richard/0000-0003-1633-2416; Kleiner, Thomas/0000-0001-7825-5765; Pattyn, Frank/0000-0003-4805-5636; Ruckamp, Martin/0000-0003-2512-7238; Martin, Carlos/0000-0002-2661-169X; payne, antony/0000-0001-8825-8425; SAITO, Fuyuki/0000-0001-5935-9614; Johnson, Jesse/0000-0002-7387-6500; Zwinger, Thomas/0000-0003-3360-4401; Konovalov, Yuri/0000-0002-8469-9706; Hubbard, Alun/0000-0002-0503-3915; Price, Stephen/0000-0001-6878-2553</t>
  </si>
  <si>
    <t>Scientific Committee on Antarctic Research</t>
  </si>
  <si>
    <t>ISMIP (Ice Sheet Model Intercomparison Project) arose from the Numerical Experimentation Group of CliC (Climate and Cryosphere - a core project of the World Climate Research Programme co-sponsored by the Scientific Committee on Antarctic Research). The authors are indebted to FRIA (Fonds pour la formation a la Recherche dans l'Industrie et dans l'Agriculture). This paper forms a contribution to the Belgian Research Programme on the Antarctic (Belgian Federal Science Policy Office), Project nr. SD/CA/02. The authors are deeply indebted to Ed Bueler for his insightful remarks and suggestions that improved the initially submitted manuscript substantially, and to the Editor Bill Lipscomb for improving the readability of the manuscript. We should like to thank James Fishbaugh for writing the scripts that produced the graphs.</t>
  </si>
  <si>
    <t>10.5194/tc-2-95-2008</t>
  </si>
  <si>
    <t>Green Submitted, Green Published, Green Accepted, gold</t>
  </si>
  <si>
    <t>WOS:000207505200002</t>
  </si>
  <si>
    <t>Magand, O; Picard, G; Brucker, L; Fily, M; Genthon, C</t>
  </si>
  <si>
    <t>Magand, O.; Picard, G.; Brucker, L.; Fily, M.; Genthon, C.</t>
  </si>
  <si>
    <t>Snow melting bias in microwave mapping of Antarctic snow accumulation</t>
  </si>
  <si>
    <t>Satellite records of microwave surface emission have been used to interpolate in-situ observations of Antarctic surface mass balance (SMB) and build continental-scale maps of accumulation. Using a carefully screened subset of SMB measurements in the 90 degrees-180 degrees E sector, we show a reasonable agreement with microwave-based accumulation map in the dry-snow regions, but large discrepancies in the coastal regions where melt occurs during summer. Using an emission microwave model, we explain the failure of microwave sensors to retrieve SMB by the presence of layers created by melt/refreeze cycles. We conclude that regions potentially affected by melting should be masked-out in microwave-based interpolation schemes.</t>
  </si>
  <si>
    <t>[Magand, O.; Picard, G.; Brucker, L.; Fily, M.; Genthon, C.] Univ Joseph Fourier Grenoble, Lab Glaciol &amp; Geophys Environm, CNRS, F-38402 St Martin Dheres, France</t>
  </si>
  <si>
    <t>Communaute Universite Grenoble Alpes; Universite Grenoble Alpes (UGA); Centre National de la Recherche Scientifique (CNRS)</t>
  </si>
  <si>
    <t>Picard, G (corresponding author), Univ Joseph Fourier Grenoble, Lab Glaciol &amp; Geophys Environm, CNRS, 54 Rue Moliere,BP 96, F-38402 St Martin Dheres, France.</t>
  </si>
  <si>
    <t>ghislain.picard@lgge.obs.ujf-grenoble.fr</t>
  </si>
  <si>
    <t>Picard, Ghislain/D-4246-2013; Brucker, Ludovic/ACJ-3763-2022; Brucker, Ludovic/A-8029-2010; Brucker, Ludovic/L-5412-2019</t>
  </si>
  <si>
    <t>Picard, Ghislain/0000-0003-1475-5853; Brucker, Ludovic/0000-0001-7102-8084;</t>
  </si>
  <si>
    <t>French Polar Institute (IPEV)</t>
  </si>
  <si>
    <t>In Wilkes and Victoria Land sectors, most of observed Surface Mass Balance data were obtained from recent research carried out in the framework of the Italian PNRA in collaboration with ENEA Roma, and supported by the French Polar Institute (IPEV). The authors are grateful to all colleagues who participated in field work and sampling operations and those whose comments and editing helped to improve the manuscript.</t>
  </si>
  <si>
    <t>10.5194/tc-2-109-2008</t>
  </si>
  <si>
    <t>WOS:000207505200003</t>
  </si>
  <si>
    <t>Gudmundsson, GH; Raymond, M</t>
  </si>
  <si>
    <t>Gudmundsson, G. H.; Raymond, M.</t>
  </si>
  <si>
    <t>On the limit to resolution and information on basal properties obtainable from surface data on ice streams</t>
  </si>
  <si>
    <t>GPS DATA; PERTURBATIONS; GLACIER</t>
  </si>
  <si>
    <t>An optimal estimation method for simultaneously determining both basal slipperiness and basal topography from variations in surface flow velocity and topography along a flow line on ice streams and ice sheets is presented. We use Bayesian inference to update prior statistical estimates for basal topography and slipperiness using surface measurements along a flow line. Our main focus here is on how errors and spacing of surface data affect estimates of basal quantities and on possibly aliasing/mixing between basal slipperiness and basal topography. We find that the effects of spatial variations in basal topography and basal slipperiness on surface data can be accurately separated from each other, and mixing in retrieval does not pose a serious problem. For realistic surface data errors and density, small-amplitude perturbations in basal slipperiness can only be resolved for wavelengths larger than about 50 times the mean ice thickness. Bedrock topography is well resolved down to horizontal scale equal to about one ice thickness. Estimates of basal slipperiness are not significantly improved by accurate prior estimates of basal topography. However, retrieval of basal slipperiness is found to be highly sensitive to unmodelled errors in basal topography.</t>
  </si>
  <si>
    <t>[Gudmundsson, G. H.] British Antarctic Survey, Cambridge CB3 0ET, England; [Raymond, M.] VAW ETHZ, Sect Glaciol, CH-8092 Zurich, Switzerland</t>
  </si>
  <si>
    <t>Gudmundsson, GH (corresponding author), British Antarctic Survey, High Cross Madingley Rd, Cambridge CB3 0ET, England.</t>
  </si>
  <si>
    <t>Gudmundsson, Gudmundur Hilmar/AAU-5987-2020; Raymond Pralong, Mélanie/I-5000-2016; Gudmundsson, Gudmundur Hilmar/F-6499-2012</t>
  </si>
  <si>
    <t>NERC [bas010018] Funding Source: UKRI; Natural Environment Research Council [bas010018] Funding Source: researchfish</t>
  </si>
  <si>
    <t>10.5194/tc-2-167-2008</t>
  </si>
  <si>
    <t>Green Submitted, Green Published, gold, Green Accepted</t>
  </si>
  <si>
    <t>WOS:000207505200008</t>
  </si>
  <si>
    <t>Fine, RA; Smethie, WM; Bullister, JL; Rhein, M; Min, DH; Warner, MJ; Poisson, A; Weiss, RF</t>
  </si>
  <si>
    <t>Fine, Rana A., Jr.; Smethie, William M.; Bullister, John L.; Rhein, Monika; Min, Dong-Ha; Warner, Mark J.; Poisson, Alain; Weiss, Ray F.</t>
  </si>
  <si>
    <t>Decadal ventilation and mixing of Indian Ocean waters</t>
  </si>
  <si>
    <t>DEEP-SEA RESEARCH PART I-OCEANOGRAPHIC RESEARCH PAPERS</t>
  </si>
  <si>
    <t>ventilation; CFCs; water masses; Indian Ocean; circulation; tracers</t>
  </si>
  <si>
    <t>ANTARCTIC BOTTOM WATER; HYDROGRAPHIC SECTION; INTERMEDIATE WATER; ARABIAN SEA; RED-SEA; CARBON-TETRACHLORIDE; SUBTROPICAL GYRE; MASCARENE BASIN; DEEP-WATER; CIRCULATION</t>
  </si>
  <si>
    <t>Chlorofluorocarbon (CFC) and hydrographic data from the World Ocean Circulation Experiment (WOCE) Indian Ocean expedition are used to evaluate contributions to decadal ventilation of water masses. At a given density, CFC-derived ages increase and concentrations decrease from the south to north, with lowest concentrations and oldest ages in Bay of Bengal. Average ages for thermocline water are 0-40 years, and for intermediate water they are less than 10 years to more than 40 years. As compared with the marginal seas or throughflow, the most significant source of CFCs for the Indian Ocean south of 12 degrees N is the Southern Hemisphere. A simple calculation is used to show this is the case even at intermediate levels due to differences in gas solubilities and mixing of Antarctic Intermediate Water and Red Sea Water. Bottom water in the Australia-Antarctic Basin is higher in CFC concentrations than that to the west in the Enderby Basin, due to the shorter distance of this water to the Adelie Land coast and Ross Sea sources. However, by 40 degrees S, CFC concentrations in the bottom water of the Crozet Basin originating from the Weddell Sea are similar to those in the South Australia Basin. Independent observations, which show that bottom water undergoes elevated mixing between the Australia-Antarctic Basin and before entering the subtropics, are consistent with high CFC dilutions (3-14-fold) and a substantial concentration decrease (factor of 5) south to north of the Southeast Indian Ridge. CFC-bearing bottom waters with ages 30 years or more are transported into the subtropical South Indian Ocean by three western boundary currents, and highest concentrations are observed in the westernmost current. During WOCE, CFC-bearing bottom water reaches to about 30 degrees S in the Perth Basin, and to 20 degrees S in the Mascarene Basin. Comparing subtropical bottom water-CFC concentrations with those of the South Pacific and Atlantic oceans, at comparable latitudes, Indian Ocean bottom water-CFC concentrations are lower, consistent with its high dissipation rates from tidal mixing and current fluctuations as shown elsewhere. Thus, the generally high dilutions and low CFC concentrations in bottom water of the Indian Ocean are due to distance to the water mass source regions and the relative effectiveness of mixing. While it is not surprising that at thermocline, intermediate, and bottom levels, the significant ventilation sources on decadal time scales are all from the south, the CFCs show how local sources and mixing within the ocean affect the ventilation. (c) 2007 Elsevier Ltd. All rights reserved.</t>
  </si>
  <si>
    <t>[Fine, Rana A., Jr.] Univ Miami, Rosenstiel Sch Marine &amp; Atmospher Sci, Miami, FL 33149 USA; [Smethie, William M.] Columbia Univ, Lamont Doherty Geol Observ, Palisades, NY 10964 USA; [Bullister, John L.] NOAA, Pacific Marine Environm Lab, Seattle, WA 98115 USA; [Rhein, Monika] Univ Bremen, Inst Environm Phys, Dept Oceanog, D-28359 Bremen, Germany; [Min, Dong-Ha] Univ Texas Richardson, Inst Marine Sci, Port Aransas, TX 78373 USA; [Warner, Mark J.] Univ Washington, Sch Oceanog, Seattle, WA 98195 USA; [Poisson, Alain] Univ Paris 06, CNRS, IPSL, Lab Biogeochim &amp; Chim Marines, F-75252 Paris 05, France; [Weiss, Ray F.] Univ Calif San Diego, Scripps Inst Oceanog, La Jolla, CA 92093 USA</t>
  </si>
  <si>
    <t>University of Miami; Columbia University; National Oceanic Atmospheric Admin (NOAA) - USA; University of Bremen; University of Texas System; University of Texas Dallas; University of Washington; University of Washington Seattle; Sorbonne Universite; Universite Paris Cite; Centre National de la Recherche Scientifique (CNRS); University of California System; University of California San Diego; Scripps Institution of Oceanography</t>
  </si>
  <si>
    <t>Fine, RA (corresponding author), Univ Miami, Rosenstiel Sch Marine &amp; Atmospher Sci, 4600 Rickenbacker Causeway, Miami, FL 33149 USA.</t>
  </si>
  <si>
    <t>rfine@rsmas.miami.edu</t>
  </si>
  <si>
    <t>Min, Dong-Ha/E-5584-2012; Rhein, Monika/P-1969-2016</t>
  </si>
  <si>
    <t>Warner, Mark J/0000-0001-7678-441X; Rhein, Monika/0000-0003-1496-2828</t>
  </si>
  <si>
    <t>0967-0637</t>
  </si>
  <si>
    <t>DEEP-SEA RES PT I</t>
  </si>
  <si>
    <t>Deep-Sea Res. Part I-Oceanogr. Res. Pap.</t>
  </si>
  <si>
    <t>10.1016/j.dsr.2007.10.002</t>
  </si>
  <si>
    <t>264ZB</t>
  </si>
  <si>
    <t>WOS:000253327800002</t>
  </si>
  <si>
    <t>Kemp, KM; Jamieson, AJ; Bagley, PM; Collins, MA; Priede, IG</t>
  </si>
  <si>
    <t>Kemp, K. M.; Jamieson, A. J.; Bagley, P. M.; Collins, M. A.; Priede, I. G.</t>
  </si>
  <si>
    <t>A new technique for periodic bait release at a deep-sea camera platform: First results from the Charlie-Gibbs Fracture Zone, Mid-Atlantic Ridge</t>
  </si>
  <si>
    <t>DEEP-SEA RESEARCH PART II-TOPICAL STUDIES IN OCEANOGRAPHY</t>
  </si>
  <si>
    <t>periodic bait release; bait; baited camera; lander; deep water; scavengers</t>
  </si>
  <si>
    <t>ABYSSAL NORTHEAST ATLANTIC; TIME-LAPSE CAMERA; DEMERSAL FISHES; IN-SITU; FORAGING BEHAVIOR; SCAVENGING FISHES; PACIFIC-OCEAN; FOOD-FALLS; CORYPHAENOIDES-(NEMATONURUS)-ARMATUS; CONSUMPTION</t>
  </si>
  <si>
    <t>Direct time-series observations of deep-sea biological activity are largely restricted to passive observations of benthic epifauna using unbaited time-lapse camera systems. However, highly mobile fauna such as scavenging fish are not generally observed at unbaited instruments. Here, we describe the successful adaptation of existing baited camera technology to incorporate an autonomous periodic bait-release system. This technology enables long-term high-frequency time-series observations of deep-sea scavenging demersal fish and crustaceans to be made for the first time. The periodic bait-release system was deployed to 3664 m in the Charlie-Gibbs Fracture Zone, Mid-Atlantic Ridge, for 38 days and incorporated six individual bait-release events. The arrival/departure pattern of Munidopsis spp. and macrourids at the camera was indicative of successive responses to individual small baits. A mean macrourid population density estimate of 8 fish km(-2) was calculated from first-arrival times at successive releases. The arrival pattern and lingering behaviour of zoarcids were comparable to observations at more persistent large food falls. Seventy-four percent of observed zoarcids were &lt; 100 mm in total length, and it is suggested that the location of the deployment in the Charlie-Gibbs Fracture Zone may be of importance as a zoarcid breeding site or nursery ground. Small, possibly juvenile, Coryphaenoides armatus were also observed infrequently. The periodic bait-release design has potential for further development. (c) 2007 Elsevier Ltd. All rights reserved.</t>
  </si>
  <si>
    <t>[Kemp, K. M.; Jamieson, A. J.; Bagley, P. M.; Priede, I. G.] Nat Hist Museum, London SW7 5BD, England; [Collins, M. A.] British Antarctic Survey, Cambridge CB3 0ET, England</t>
  </si>
  <si>
    <t>Natural History Museum London; UK Research &amp; Innovation (UKRI); Natural Environment Research Council (NERC); NERC British Antarctic Survey</t>
  </si>
  <si>
    <t>Kemp, KM (corresponding author), Nat Hist Museum, Cromwell Rd, London SW7 5BD, England.</t>
  </si>
  <si>
    <t>k.kemp@nhm.ac.uk</t>
  </si>
  <si>
    <t>, Martin/ABE-6728-2020; Collins, Martin A/J-8560-2017</t>
  </si>
  <si>
    <t>, Martin/0000-0001-7132-8650; Priede, Imants/0000-0002-5064-9751; Jamieson, Alan/0000-0001-9835-2909</t>
  </si>
  <si>
    <t>NERC [NE/C512988/1, NE/C51300X/1, NE/C512961/1, NE/C512996/1, NE/C51297X/1, bas010017] Funding Source: UKRI; Natural Environment Research Council [NE/C51300X/1, bas010017, NE/C51297X/1, NE/C512961/1, NE/C512988/1, NE/C512996/1] Funding Source: researchfish</t>
  </si>
  <si>
    <t>0967-0645</t>
  </si>
  <si>
    <t>1879-0100</t>
  </si>
  <si>
    <t>DEEP-SEA RES PT II</t>
  </si>
  <si>
    <t>Deep-Sea Res. Part II-Top. Stud. Oceanogr.</t>
  </si>
  <si>
    <t>10.1016/j.dsr2.2007.09.011</t>
  </si>
  <si>
    <t>262VT</t>
  </si>
  <si>
    <t>WOS:000253176800018</t>
  </si>
  <si>
    <t>Hofmann, EE; Wiebe, PH; Costa, DP; Torres, JJ</t>
  </si>
  <si>
    <t>Hofmann, Eileen E.; Wiebe, Peter H.; Costa, Daniel P.; Torres, Joseph J.</t>
  </si>
  <si>
    <t>Introduction to dynamics of plankton, krill, and predators in relation to environmental features of the western Antarctic Peninsula and related areas: SO GLOBEC Part II</t>
  </si>
  <si>
    <t>[Hofmann, Eileen E.] Old Dominion Univ, Ctr Coastal Phys Oceanog, Norfolk, VA 23508 USA; [Wiebe, Peter H.] Woods Hole Oceanog Inst, Dept Biol, Woods Hole, MA 02543 USA; [Costa, Daniel P.] Univ Calif Santa Cruz, Dept Ecol &amp; Evolutionary Biol, Santa Cruz, CA 95060 USA; [Torres, Joseph J.] Univ S Florida, Coll Marine Sci, St Petersburg, FL 33701 USA</t>
  </si>
  <si>
    <t>Old Dominion University; Woods Hole Oceanographic Institution; University of California System; University of California Santa Cruz; State University System of Florida; University of South Florida</t>
  </si>
  <si>
    <t>Hofmann, EE (corresponding author), Old Dominion Univ, Ctr Coastal Phys Oceanog, Norfolk, VA 23508 USA.</t>
  </si>
  <si>
    <t>hofmann@ccpo.odu.edu</t>
  </si>
  <si>
    <t>Carlos, Universidade Federal de São/W-8832-2019; Costa, Daniel Paul/E-2616-2013</t>
  </si>
  <si>
    <t>Carlos, Universidade Federal de São/0000-0002-0334-3899; Costa, Daniel Paul/0000-0002-0233-5782; Wiebe, Peter/0000-0002-6059-4651</t>
  </si>
  <si>
    <t>10.1016/j.dsr2.2007.12.001</t>
  </si>
  <si>
    <t>290JR</t>
  </si>
  <si>
    <t>WOS:000255119600001</t>
  </si>
  <si>
    <t>Bolmer, ST</t>
  </si>
  <si>
    <t>Bolmer, S. T.</t>
  </si>
  <si>
    <t>A note on the development of the bathymetry of the continental margin west of the Antarctic Peninsula from 65° to 71°S and 65° to 78°W</t>
  </si>
  <si>
    <t>SO GLOBEC; multibeam data; centerlhie echo sounding; bathymetry; Antarctic Peninsula western margin</t>
  </si>
  <si>
    <t>Multibeam data collected during the United States Southern Ocean Global Ocean Ecosystems Dynamics cruises in 2001 and 2002 aboard the R/VIB Nathaniel R Palmer were augmented with available multibeam and centerline bathymetry data from a variety of sources to compile a bathymetric data set for the continental shelf west of the Antarctic Peninsula. This new bathymetry data set provides an improvement in the resolution of the bathymetry of the region. The improved data set was used to construct a high-resolution bathymetric map of the continental margin west of the Antarctic Peninsula from 65 degrees to 71 degrees S and from 65 degrees to 78 degrees W. (C) 2007 Elsevier Ltd. All rights reserved.</t>
  </si>
  <si>
    <t>Woods Hole Oceanog Inst, Dept Geol &amp; Geophys, Woods Hole, MA 02543 USA</t>
  </si>
  <si>
    <t>Woods Hole Oceanographic Institution</t>
  </si>
  <si>
    <t>Bolmer, ST (corresponding author), Woods Hole Oceanog Inst, Dept Geol &amp; Geophys, Clark 286, Woods Hole, MA 02543 USA.</t>
  </si>
  <si>
    <t>tbolmer@whoi.edu</t>
  </si>
  <si>
    <t>10.1016/j.dsr2.2007.10.004</t>
  </si>
  <si>
    <t>WOS:000255119600002</t>
  </si>
  <si>
    <t>Moffat, C; Beardsley, RC; Owens, B; van Lipzig, N</t>
  </si>
  <si>
    <t>Moffat, Carlos; Beardsley, Robert C.; Owens, Breck; van Lipzig, Nicole</t>
  </si>
  <si>
    <t>A first description of the Antarctic Peninsula Coastal Current</t>
  </si>
  <si>
    <t>polar oceanography; coastal oceanography; buoyant plumes</t>
  </si>
  <si>
    <t>MARGUERITE BAY; SEA-ICE; CONTINENTAL-SHELF; SURFACE CURRENTS; AUSTRAL FALL; WEST; CIRCULATION; OCEAN; DYNAMICS; REGION</t>
  </si>
  <si>
    <t>We present hydrographic and shipboard ADCP data collected during the fall (April/June) and winter (July/August) and moored velocity observations collected from 2001 to early 2002 on the west Antarctic Peninsula (wAP) shelf during the Southern Ocean Global Ecosystems Dynamics (SO GLOBEC) program. In fall, a geostrophically balanced, buoyant current flows southward along the coast. This Antarctic Peninsula Coastal Current (APCC) forms during the ice-free season and extends from Adelaide Island to Alexander Island, although its path inside Marguerite Bay is uncertain. During the fall of 200 1, the APCC had a volume transport of 0.32 +/- 0.13 Sv and a freshwater transport (relative to a reference salinity of 34.4) of 126 +/- 50 km(3) yr(-1). From early July to late October, the APCC disappears from the coast as the freshwater input from the coast diminishes and sea-ice forms oil the shelf. An examination of the relative sizes of the freshwater sources suggests runoff from land and precipitation over the ocean are the primary sources for the APCC. (C) 2007 Elsevier Ltd. All rights reserved.</t>
  </si>
  <si>
    <t>[Moffat, Carlos] Woods Hole Oceanog Inst, MIT, Joint Program Oceanog, Woods Hole, MA 02543 USA; [Beardsley, Robert C.; Owens, Breck] Woods Hole Oceanog Inst, Dept Phys Oceanog, Woods Hole, MA 02543 USA; [van Lipzig, Nicole] Katholieke Univ Leuven, Phys &amp; Reg Geog Res Grp, B-3000 Louvain, Belgium</t>
  </si>
  <si>
    <t>Massachusetts Institute of Technology (MIT); Woods Hole Oceanographic Institution; Woods Hole Oceanographic Institution; KU Leuven</t>
  </si>
  <si>
    <t>Moffat, C (corresponding author), Woods Hole Oceanog Inst, MIT, Joint Program Oceanog, Woods Hole, MA 02543 USA.</t>
  </si>
  <si>
    <t>cmoffat@whoi.edu</t>
  </si>
  <si>
    <t>van Lipzig, Nicole/ABF-2964-2021; Moffat, Carlos F/B-3565-2015</t>
  </si>
  <si>
    <t>van Lipzig, Nicole/0000-0003-2899-4046; Moffat, Carlos F/0000-0002-7768-8275</t>
  </si>
  <si>
    <t>10.1016/j.dsr2.2007.10.003</t>
  </si>
  <si>
    <t>WOS:000255119600003</t>
  </si>
  <si>
    <t>Dorland, RD; Zhou, M</t>
  </si>
  <si>
    <t>Dorland, Ryan D.; Zhou, Meng</t>
  </si>
  <si>
    <t>Circulation and heat fluxes during the austral fall in George VI Sound, Antarctic Peninsula</t>
  </si>
  <si>
    <t>Southern Ocean; mesoscale; jets; eddies; upwelling; heat fluxes</t>
  </si>
  <si>
    <t>MARGUERITE BAY; CONTINENTAL-SHELF; BRANSFIELD STRAIT; SURFACE CURRENTS; WATER MASSES; ICE SHELF; WINTER; WEST; ZOOPLANKTON; DYNAMICS</t>
  </si>
  <si>
    <t>A mesoscale survey was conducted in northern George VI Sound as part of the United States Southern Ocean Global Ocean Ecosystems Dynamics program in austral fall 2001 to examine the circulation and heat fluxes. The absolute dynamic height field is determined from a combination of measured currents detided using model-predicted tidal currents, streamfunction fitting, and the thermal wind equation based on hydrographic measurements. The results have revealed surface coastal currents of 0.2 m s(-1) intruding into northern George VI Sound from Marguerite Bay (MB) and mesoscale eddies formed within the deep trough. Both Antarctic surface waters and modified circumpolar deep water were transported into the sound along the eastern side of the sound while ice shelf influenced waters exited to MB along the western side. Analysis indicates that predominant southward winds during the season were responsible for driving the basin-wide circulation in the sound. Both convergence of horizontal heat transports and vertical upwelling heat fluxes were significant to the contribution or delay of local ice formation in George VI Sound, which is critical for the austral winter ecosystem. Published by Elsevier Ltd.</t>
  </si>
  <si>
    <t>[Dorland, Ryan D.; Zhou, Meng] Univ Massachusetts, Dept Environm Earth &amp; Ocean Sci, Boston, MA 02125 USA</t>
  </si>
  <si>
    <t>University of Massachusetts System; University of Massachusetts Boston</t>
  </si>
  <si>
    <t>Zhou, M (corresponding author), Univ Massachusetts, Dept Environm Earth &amp; Ocean Sci, 100 Morrissey Blvd, Boston, MA 02125 USA.</t>
  </si>
  <si>
    <t>meng.zhou@umb.edu</t>
  </si>
  <si>
    <t>10.1016/j.dsr2.2007.01.014</t>
  </si>
  <si>
    <t>WOS:000255119600004</t>
  </si>
  <si>
    <t>Meredith, MP; Brandon, MA; Wallace, MI; Clarke, A; Leng, MJ; Renfrew, IA; van Lipzig, NPM; King, JC</t>
  </si>
  <si>
    <t>Meredith, Michael P.; Brandon, Mark A.; Wallace, Margaret I.; Clarke, Andrew; Leng, Melanie J.; Renfrew, Ian A.; van Lipzig, Nicole P. M.; King, John C.</t>
  </si>
  <si>
    <t>Variability in the freshwater balance of northern Marguerite Bay, Antarctic Peninsula:: Results from δ18O</t>
  </si>
  <si>
    <t>Western Antarctic Peninsula; freshwater; glacial melt; sea ice melt</t>
  </si>
  <si>
    <t>SEA-ICE; CONTINENTAL-SHELF; SOUTHERN-OCEAN; CLIMATE-CHANGE; WEST; CIRCULATION; TRENDS; SUMMER; FLUXES; MODEL</t>
  </si>
  <si>
    <t>We investigate the seasonal variability in freshwater inputs to the Marguerite Bay region (Western Antarctic Peninsula) using a time series of oxygen isotopes in seawater from samples collected in the upper mixed layer of the ocean during 2002 and 2003. We find that meteoric water, mostly in the form of glacial ice melt, is the dominant freshwater source, accounting for up to 5% of the near-surface,ocean during the austral summer. Sea-ice melt accounts for a much smaller percentage, even during the summer (maximum around 1%). The seasonality in meteoric water input to the ocean (around 2% of the near-surface ocean) is not dissimilar to that of sea-ice melt (around 2% in 2002 and 1% in 2003), contradicting the assumption that sea-ice processes dominate the seasonal evolution of the physical ocean environment close to the Antarctic continent. Three full-depth profiles of oxygen isotopes collected in successive Decembers (2001-2003) indicate that around 4 m of meteoric water is present in the water column at this time of year, and around 1 m of sea-ice formed from this same water column. The predominance of glacial melt is significant, since it is known to be an important factor in the operation of the ecosystem, for example by providing a source of nutrients and modifying the physical environment to control the spatial extent and magnitude of phytoplankton blooms. The Western Antarctic Peninsula is undergoing a very rapid change in climate, with increasing ocean and air temperatures, retreating glaciers, and increases in precipitation associated with changes in atmospheric circulation. As climate change continues, we expect meteoric water inputs to the adjacent ocean to rise further. Sea-ice in this sector of the Antarctic has shown a climatic decrease, and we expect a reduction in oceanic sea-ice melt fractions if this change continues. Continued monitoring of the oceanic freshwater budget at the western Peninsula is needed to track these changes as they occur, and to better understand their ecological consequences. (C) 2008 Elsevier Ltd. All rights reserved.</t>
  </si>
  <si>
    <t>[Meredith, Michael P.; Wallace, Margaret I.; Clarke, Andrew; King, John C.] British Atlantic Survey, Cambridge, England; [Brandon, Mark A.] Open Univ, Dept Earth Sci, Milton Keynes MK7 6AA, Bucks, England; [Leng, Melanie J.] British Geol Survey, NERC, Isotope Geosci Lab, Nottingham NG12 5GG, England; [Leng, Melanie J.] Univ Nottingham, Sch Geog, Nottingham NG7 2RD, England; [Renfrew, Ian A.] Univ E Anglia, Sch Environm Sci, Norwich NR4 7TJ, Norfolk, England; [van Lipzig, Nicole P. M.] Katholieke Univ Leuven, Phys &amp; Reg Geog Res Grp, Louvain, Belgium</t>
  </si>
  <si>
    <t>UK Research &amp; Innovation (UKRI); Natural Environment Research Council (NERC); NERC British Antarctic Survey; Open University - UK; UK Research &amp; Innovation (UKRI); Natural Environment Research Council (NERC); NERC British Geological Survey; University of Nottingham; University of East Anglia; KU Leuven</t>
  </si>
  <si>
    <t>Meredith, MP (corresponding author), British Atlantic Survey, Madingley Rd, Cambridge, England.</t>
  </si>
  <si>
    <t>mmm@bas.ac.uk</t>
  </si>
  <si>
    <t>Brandon, Mark A/A-5804-2010; Renfrew, Ian A/E-4057-2010; van Lipzig, Nicole/ABF-2964-2021</t>
  </si>
  <si>
    <t>van Lipzig, Nicole/0000-0003-2899-4046; Meredith, Michael/0000-0002-7342-7756; Brandon, Mark/0000-0002-7779-0958; Renfrew, Ian/0000-0001-9379-8215</t>
  </si>
  <si>
    <t>NERC [bas010014, bas010020, bgs04003, nigl010001] Funding Source: UKRI; Natural Environment Research Council [bgs04003, bas010020, nigl010001, bas010014] Funding Source: researchfish; Directorate For Geosciences; Office of Polar Programs (OPP) [0823101]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</si>
  <si>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</si>
  <si>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10.1016/j.dsr2.2007.11.005</t>
  </si>
  <si>
    <t>WOS:000255119600005</t>
  </si>
  <si>
    <t>Costa, DP; Klinck, JM; Hofmann, EE; Dinniman, MS; Burns, JM</t>
  </si>
  <si>
    <t>Costa, Daniel P.; Klinck, John M.; Hofmann, Eileen E.; Dinniman, Michael S.; Burns, Jennifer M.</t>
  </si>
  <si>
    <t>Upper ocean variability in west Antarctic Peninsula continental shelf waters as measured using instrumented seals</t>
  </si>
  <si>
    <t>crabeater seal; ocean observation; Western Antarctic Peninsula; heat budget; water temperature profiles</t>
  </si>
  <si>
    <t>NORTHERN ELEPHANT SEALS; FORAGING ECOLOGY; SOUTHERN-OCEAN; HABITAT USE; BEHAVIOR; SURFACE; TEMPERATURE; CIRCULATION; PHYSIOLOGY; PENGUINS</t>
  </si>
  <si>
    <t>Temperature profile data for the west Antarctic Peninsula (WAP) continental shelf waters, collected from freely ranging instrumented seals (crabeater, Lobodon carcinophagus and leopard, Hydrurga leptonyx), were used to demonstrate that these platforms can be used to Supplement traditional oceanographic sampling methods to investigate the physical properties of the upper water column. The seal-derived profiles were combined with temperature profiles obtained from ship-based CTD measurements and from a numerical circulation model developed for the WAP to describe changes in temperature structure, heat content, and heat flux in the upper ocean waters of the WAP continental shelf. The seal-derived data documented the fall-to-winter transition of the surface waters and the shelf-wide presence of modified Circumpolar Deep Water (CDW) below 150-200 m on the WAP continental shelf. The heat content of the upper 200 m calculated from the seal-derived temperature profiles ranged between 1000 and 1500 MJ m(-2); similar estimates were obtained from simulated temperature distributions. The seal-derived temperature measurements provided broader space and time resolution than was possible using any other currently available oceanographic sampling method. As such, the seal-derived measurements provided a Valuable dataset for evaluation of temperature fields obtained from a numerical circulation model. (C) 2008 Elsevier Ltd. All rights reserved.</t>
  </si>
  <si>
    <t>[Costa, Daniel P.] Univ Calif Santa Cruz, Dept Ecol &amp; Evolutionary Biol, Santa Cruz, CA 95060 USA; [Klinck, John M.; Hofmann, Eileen E.; Dinniman, Michael S.] Old Dominion Univ, Ctr Coastal Phys Oceanog, Norfolk, VA 23508 USA; [Burns, Jennifer M.] Univ Alaska, Dept Biol Sci, Anchorage, AK 99508 USA</t>
  </si>
  <si>
    <t>University of California System; University of California Santa Cruz; Old Dominion University; University of Alaska System; University of Alaska Anchorage</t>
  </si>
  <si>
    <t>Costa, DP (corresponding author), Univ Calif Santa Cruz, Dept Ecol &amp; Evolutionary Biol, 100 Shaffer Rd, Santa Cruz, CA 95060 USA.</t>
  </si>
  <si>
    <t>costa@biology.ucsc.edu</t>
  </si>
  <si>
    <t>Carlos, Universidade Federal de São/W-8832-2019; Burns, Jennifer M/C-4159-2013; Burns, Jennifer/AAC-8243-2019; Costa, Daniel Paul/E-2616-2013</t>
  </si>
  <si>
    <t>Carlos, Universidade Federal de São/0000-0002-0334-3899; Burns, Jennifer/0000-0001-9652-2943; Klinck, John/0000-0003-4312-5201; Dinniman, Michael/0000-0001-7519-9278; Costa, Daniel Paul/0000-0002-0233-5782</t>
  </si>
  <si>
    <t>10.1016/j.dsr2.2007.11.003</t>
  </si>
  <si>
    <t>WOS:000255119600006</t>
  </si>
  <si>
    <t>Geiger, CA; Perovich, DK</t>
  </si>
  <si>
    <t>Geiger, Cathleen A.; Perovich, Donald K.</t>
  </si>
  <si>
    <t>Springtime ice motion in the western Antarctic Peninsula region</t>
  </si>
  <si>
    <t>sea-ice kinematics; inertial oscillations; spring breakup</t>
  </si>
  <si>
    <t>ARCTIC SEA-ICE; ROSS SEA; DEFORMATION; SHELF; DRIFT; CURRENTS; SUMMER; FALL</t>
  </si>
  <si>
    <t>Oscillatory motion of sea-ice is examined using two ice-drifting buoys separated by 1 degrees latitude near 66 degrees S during the winter to spring transition in the Marguerite Bay region west of the Antarctic Peninsula.. The buoys' motions exhibit spectrally distinct periods (12.87 +/- 0.04 and 13.03 +/- 0.04 h, respectively) despite highly correlated motion between them (r(2) is 0.62 and 0.81 for u and v, respectively). The periods shift with latitude and nearly match the local inertial periods (13.00 and 13.10 h, respectively). The oscillations are further examined with respect to the kinematics involved in the breakup process of sea-ice. These include hourly resolved manifestations of circular trajectories, semi-circular oscillations with compressed trajectory cusps, and accordion-like compressions along straight-line trajectories. Oscillations are found in all trajectory types over the lifetime of both buoys (several months). Traditional circular and semicircular oscillations are particularly prominent during two episodes, one of which is preceded by strong wind events and a substantial decrease in ice thickness and concentration. These episodes combine with seasonally warming temperatures to break up and melt the sea-ice cover. We discuss potential relationships between the degradation of the ice pack during spring breakup and the increase in energy at near-inertial frequencies including the appearance of a non-linear cascade of energy within the ice from the low frequencies (commensurate with storms and fortnightly tides) to semi-diurnal frequencies. We further comment on the implications this type of high-frequency motion has on local biological ecosystems. Specifically, we find that sea-ice semi-diurnal oscillations are at their peak during the final decay of sea-ice just before springtime primary productivity begins. Hence, the oscillatory motion of sea-ice not only serves as an effective mixing agent within the ice-ocean mixed layer, but also serves as an effective seeding platform for distributing phyto- and zooplankton overwintering within and around the ice floes. (C) 2007 Elsevier Ltd. All rights reserved.</t>
  </si>
  <si>
    <t>[Geiger, Cathleen A.; Perovich, Donald K.] USA, Cold Reg Res &amp; Engn Lab, Snow &amp; Ice Branch, Hanover, NH 03755 USA; [Geiger, Cathleen A.] Univ Delaware, Ctr Climat Res, Newark, DE USA</t>
  </si>
  <si>
    <t>United States Department of Defense; United States Army; U.S. Army Corps of Engineers; U.S. Army Engineer Research &amp; Development Center (ERDC); Cold Regions Research &amp; Engineering Laboratory (CRREL); University of Delaware</t>
  </si>
  <si>
    <t>Geiger, CA (corresponding author), Univ Delaware, Dept Geog, 216 Pearson Hall, Newark, DE USA.</t>
  </si>
  <si>
    <t>cgeiger@udel.edu</t>
  </si>
  <si>
    <t>10.1016/j.dsr2.2007.11.008</t>
  </si>
  <si>
    <t>WOS:000255119600007</t>
  </si>
  <si>
    <t>Hyatt, J; Visbeck, M; Beardsley, RC; Owens, WB</t>
  </si>
  <si>
    <t>Hyatt, Jason; Visbeck, Martin; Beardsley, Robert C.; Owens, W. Brechner</t>
  </si>
  <si>
    <t>Estimating sea-ice coverage, draft, and velocity in Marguerite Bay (Antarctica) using a subsurface moored upward-looking acoustic Doppler current profiler (ADCP)</t>
  </si>
  <si>
    <t>sea ice; ice draft; ice drift; ADCP; Marguerite Bay; Antarctic Peninsula</t>
  </si>
  <si>
    <t>SONAR; THICKNESS; WINTER; SHELF</t>
  </si>
  <si>
    <t>A technique for the analysis of data from a subsurface moored upward-looking acoustic Doppler current profiler (ADCP) to determine ice coverage, draft and velocity is presented and applied to data collected in Marguerite Bay on the western Antarctic Peninsula shelf. This method provides sea-ice information when no dedicated upward-looking sonar (ULS) data are available. Ice detection is accomplished using windowed variances of ADCP vertical velocity, vertical error velocity, and surface horizontal speed. ADCP signal correlation and backscatter intensity were poor indicators of the presence of ice at this site. Ice draft is estimated using a combination of ADCP backscatter data, atmospheric and oceanic pressure data, and information about the thermal stratification. This estimate requires corrections to the ADCP-derived range for instrument tilt and sound speed profile. Uncertainties of +/- 0.20m during midwinter and +/- 0.40 m when the base of the surface mixed layer is above the ADCP for ice draft are estimated based on: (a) a Monte Carlo simulation, (b) uncertainty in the sound speed correction, and (c) performance of the zero-draft estimate during times of known open water. Ice velocity is taken as the ADCP horizontal velocity in the depth bin specified by the range estimate (C) 2008 Elsevier Ltd. All rights reserved.</t>
  </si>
  <si>
    <t>[Hyatt, Jason] Massachusetts Maritime Acad, Sci &amp; Math Dept, Buzzarda Bay, MA 02532 USA; [Hyatt, Jason; Beardsley, Robert C.; Owens, W. Brechner] Woods Hole Oceanog Inst, Dept Phys Oceanog, Woods Hole, MA 02543 USA; [Visbeck, Martin] IFM, GEOMAR, Leiden Inst Meerewissensch, D-24105 Kiel, Germany</t>
  </si>
  <si>
    <t>Massachusetts System of Public Higher Education; Massachusetts Maritime Academy; Woods Hole Oceanographic Institution; Helmholtz Association; GEOMAR Helmholtz Center for Ocean Research Kiel</t>
  </si>
  <si>
    <t>Hyatt, J (corresponding author), Massachusetts Maritime Acad, Sci &amp; Math Dept, Buzzarda Bay, MA 02532 USA.</t>
  </si>
  <si>
    <t>jhyatt@maritime.edu</t>
  </si>
  <si>
    <t>Visbeck, Martin/G-2461-2011; Visbeck, Martin H/B-6541-2016</t>
  </si>
  <si>
    <t>Visbeck, Martin/0000-0002-0844-834X; Visbeck, Martin H/0000-0002-0844-834X</t>
  </si>
  <si>
    <t>10.1016/j.dsr2.2007.11.004</t>
  </si>
  <si>
    <t>WOS:000255119600008</t>
  </si>
  <si>
    <t>Williams, GD; Nicol, S; Raymond, B; Meiners, K</t>
  </si>
  <si>
    <t>Williams, G. D.; Nicol, S.; Raymond, B.; Meiners, K.</t>
  </si>
  <si>
    <t>Summertime mixed layer development in the marginal sea ice zone off the Mawson coast, East Antarctica</t>
  </si>
  <si>
    <t>East Antarctica; Mawson coast; summer mixed layer; physical-biological interactions; Antarctic Slope Current</t>
  </si>
  <si>
    <t>CHINSTRAP PENGUINS; ADELIE PENGUINS; WATER MASSES; SLOPE FRONT; MARCH 1996; OCEAN; CIRCULATION; 80-150-DEGREES-E; VARIABILITY; JANUARY</t>
  </si>
  <si>
    <t>Two small-scale Antarctic marine ecosystem surveys were conducted offshore from the Mawson coast (61-66 degrees E), in the austral summers of January 2001 and 2003. Striking differences were observed in the state of the marine ecosystem between the surveys; in particular krill abundance and penguin breeding success were significantly lower in 2003. In this paper we examine the variability in the physical oceanography between the two surveys, and identify the development of the summer mixed layer (SML) as the key physical process influencing the differences in ecological conditions. The mixed layer in 2003 was warmer, fresher and reduced in both dissolved oxygen content and fluorescence relative to 2001. In 2001 the mean mixed-layer depth was 68.5 +/- 12.4m. In 2003, the mean mixed-layer depth was 33.8 +/- 11.2 m, and increased through the remaining 14 days of the survey. The SML in 2003 was underdeveloped by over a month relative to the 2001 hydrography and we relate this to the seasonal variability in the pattern and timing of sea-ice melt. AVHRR satellite images show a region of fast ice against the Mawson coast that had greater spatial and temporal extent in 2003. We conclude that delayed mixed layer development due to persistent sea ice is likely to have a negative impact on the marine ecosystem of the Antarctic shelf. This may have important implications for predicting the impact of future variability in the sea-ice growth/melt transition due to climate change. Crown Copyright (C) 2007 Published by Elsevier Ltd. All rights reserved.</t>
  </si>
  <si>
    <t>[Williams, G. D.; Nicol, S.; Meiners, K.] Univ Tasmania, Antarctic Climate &amp; Ecosyst Cooperat Res Ctr ACEC, Hobart, Tas, Australia; [Nicol, S.; Raymond, B.] Australian Antarctic Div, Dept Environm &amp; Heritage, Kingston, Tas 7050, Australia</t>
  </si>
  <si>
    <t>Williams, GD (corresponding author), Univ Tasmania, Antarctic Climate &amp; Ecosyst Cooperat Res Ctr ACEC, Private Bag 80, Hobart, Tas, Australia.</t>
  </si>
  <si>
    <t>Guy.Williams@acecrc.org.au</t>
  </si>
  <si>
    <t>10.1016/j.dsr2.2007.11.007</t>
  </si>
  <si>
    <t>WOS:000255119600009</t>
  </si>
  <si>
    <t>Marrari, M; Daly, KL; Hu, CM</t>
  </si>
  <si>
    <t>Marrari, Marina; Daly, Kendra L.; Hu, Chuanmin</t>
  </si>
  <si>
    <t>Spatial and temporal variability of SeaWiFS chlorophyll a distributions west of the Antarctic Peninsula:: Implications for krill production</t>
  </si>
  <si>
    <t>chlorophyll a; climatology; SeaWiFS; Antarctic krill; Euphausia superba; sea ice; Southern Ocean; Antarctic Peninsula; Bellingshausen Sea</t>
  </si>
  <si>
    <t>EUPHAUSIA-SUPERBA DANA; SOUTHERN-OCEAN; PHYTOPLANKTON ASSEMBLAGES; BELLINGSHAUSEN SEA; ENERGETIC COST; SHELF WATERS; SCOTIA SEA; ICE-EDGE; RECRUITMENT; BIOMASS</t>
  </si>
  <si>
    <t>ScaWiFS chlorophyll a distributions between 1997 and 2004 were investigated in relation to sea-ice dynamics for waters west of the Antarctic Peninsula (55-75 degrees S, 50-80 degrees W) in order to better understand the reproductive patterns and recruitment success of the Antarctic krill, Euphausia superba. Climatology patterns showed that the Bellingshausen Sea and Marguerite Bay region usually had higher chlorophyll a concentrations, which persisted throughout austral spring and summer, compared with more northern regions along the Antarctic Peninsula and the western Scotia Sea. These predictable and long-lasting phytoplankton accumulations could provide krill with the food levels required for successful reproduction and larval survival. Unusually high krill reproduction in 2000/2001 was coincident with above-average chlorophyll a concentrations throughout most of the study area and resulted in the largest juvenile recruitment (in 2001/2002) since 1981. High larval densities (up to 132 ind m(-3)) at the shelf break along the Antarctic Peninsula may have resulted, in part, from krill spawning in the Bellingshausen Sea. In general, ice-edge blooms were only a significant feature in the southern sectors of our study area, particularly in the Bellingshausen Sea and, thus, may not support krill reproduction in the northern Peninsula region as previously believed. Instead, phytoplankton blooms during spring in the northern region appeared to be governed by shelf-break processes, such as upwelling of iron-rich deep water. Interannual differences in sea ice also probably contributed to the variability in larval krill abundances observed in Marguerite Bay. Sea ice melted early in 2000/2001, allowing elevated phytoplankton blooms to develop. In contrast, sea ice persisted throughout spring and summer 2001/2002 limiting phytoplankton accumulation, particularly in southern Marguerite Bay. Thus, the early and extended availability of elevated chlorophyll a concentrations during spring and summer 2000/2001, particularly in the vicinity of Marguerite Bay and to the south in the Bellingshausen Sea, as well as reduced sea ice in coastal areas, likely supported the unusually high densities of larval krill observed during fall in waters west of the Antarctic Peninsula. (C) 2007 Elsevier Ltd. All rights reserved.</t>
  </si>
  <si>
    <t>[Marrari, Marina; Daly, Kendra L.; Hu, Chuanmin] Univ S Florida, Coll Marine Sci, St Petersburg, FL 33701 USA</t>
  </si>
  <si>
    <t>State University System of Florida; University of South Florida</t>
  </si>
  <si>
    <t>Marrari, M (corresponding author), Univ S Florida, Coll Marine Sci, 140 Seventh Ave S St, St Petersburg, FL 33701 USA.</t>
  </si>
  <si>
    <t>mmarrari@marine.usf.edu</t>
  </si>
  <si>
    <t>hu, chuanmin/J-5021-2012</t>
  </si>
  <si>
    <t>10.1016/j.dsr2.2007.11.011</t>
  </si>
  <si>
    <t>WOS:000255119600010</t>
  </si>
  <si>
    <t>Serebrennikova, Y; Fanning, KA; Walsh, JJ</t>
  </si>
  <si>
    <t>Serebrennikova, Yulia; Fanning, Kent A.; Walsh, John J.</t>
  </si>
  <si>
    <t>Modeling the nitrogen and carbon cycling in Marguerite Bay, Antarctica: Annual variations in ammonium and net community production</t>
  </si>
  <si>
    <t>Antarctic nutrient cycle; nutrient utilization; nutrient regeneration; simulation model</t>
  </si>
  <si>
    <t>PENINSULA CONTINENTAL-SHELF; PHYTOPLANKTON GROWTH-RATES; WESTERN BRANSFIELD STRAIT; SOUTHERN-OCEAN; ROSS SEA; AUSTRAL SUMMER; EUPHAUSIA-SUPERBA; BELLINGSHAUSEN SEA; ORGANIC-MATTER; INTERANNUAL VARIABILITY</t>
  </si>
  <si>
    <t>A quasi-two-dimensional biogeochemical model was applied to Marguerite Bay to investigate differences in the seasonal cycles of nitrogen and carbon of the plankton communities between 2000-2001 and 2001-2002. The impetus for the modeling effort came from observations made during the US SO Southern Ocean Global Ocean Ecosystem dynamics (SO GLOBEC) program field surveys in 2001 and 2002 that showed a two-fold decrease in net community production (NCP) and ammonium stocks. Simulated nutrient fields matched these observations, indicating that NCP was mainly controlled by the availability of light to phytoplankton. Greater sea-ice cover led to a shorter phytoplankton bloom in 2001-2002 than in 2000-2001. Furthermore, the simulated lower primary production led to smaller bacterial ammonification during the second year. Additionally, smaller zooplankton stocks were observed that led to less simulated excretion of ammonium during 2002. The results of the numerical simulations showed that remineralization of organic matter to ammonium by bacteria accounted for up to 45% of the ammonium production during each year. (C) 2007 Elsevier Ltd. All rights reserved.</t>
  </si>
  <si>
    <t>[Serebrennikova, Yulia; Fanning, Kent A.; Walsh, John J.] Univ S Florida, Coll Marine Sci, St Petersburg, FL 33701 USA</t>
  </si>
  <si>
    <t>Fanning, KA (corresponding author), Univ S Florida, Coll Marine Sci, 140 7th Ave S, St Petersburg, FL 33701 USA.</t>
  </si>
  <si>
    <t>kaf@marine.usf.edu</t>
  </si>
  <si>
    <t>Walsh, John/GQI-2785-2022</t>
  </si>
  <si>
    <t>Walsh, John/0000-0002-2510-8734</t>
  </si>
  <si>
    <t>10.1016/j.dsr2.2007.11.009</t>
  </si>
  <si>
    <t>WOS:000255119600011</t>
  </si>
  <si>
    <t>Lawson, GL; Wiebe, PH; Stanton, TK; Ashjian, CJ</t>
  </si>
  <si>
    <t>Lawson, Gareth L.; Wiebe, Peter H.; Stanton, Timothy K.; Ashjian, Carin J.</t>
  </si>
  <si>
    <t>Euphausiid distribution along the Western Antarctic Peninsula - Part A: Development of robust multi-frequency acoustic techniques to identify euphausiid aggregations and quantify euphausild size, abundance, and biomass</t>
  </si>
  <si>
    <t>Antarctic krill; euphausiid distribution; multi-frequency; acoustic methods; Western Antarctic Peninsula; Marguerite Bay</t>
  </si>
  <si>
    <t>SOUTHERN-OCEAN; ZOOPLANKTON POPULATIONS; TAXONOMIC COMPOSITION; KRILL EUPHAUSIACEA; AUSTRAL SUMMER; SUPERBA; SOUND; SCATTERING; PLANKTON; SYSTEM</t>
  </si>
  <si>
    <t>Methods were refined and tested for identifying the aggregations of Antarctic euphausiids (Euphausia spp.) and then estimating euphausiid size, abundance, and biomass, based on multi-frequency acoustic survey data. A threshold level of volume backscattering strength for distinguishing euphausiid aggregations from other zooplankton was derived on the basis of published measurements of euphausiid visual acuity and estimates of the minimum density of animals over which an individual can maintain visual contact with its nearest neighbor. Differences in mean volume backscattering strength at 120 and 43 kHz further served to distinguish euphausiids from other sources of scattering. An inversion method was then developed to estimate simultaneously the mean length and density of euphausiids in these acoustically identified aggregations based on measurements of mean volume backscattering strength at four frequencies (43, 120, 200, and 420kHz). The methods were tested at certain locations within an acoustically surveyed continental shelf region in and around Marguerite Bay, west of the Antarctic Peninsula, where independent evidence was also available from net and video systems. Inversion results at these test sites were similar to net samples for estimated length, but acoustic estimates of euphausiid density exceeded those from nets by one to two orders of magnitude, likely due primarily to avoidance and to a lesser extent to differences in the volumes sampled by the two systems. In a companion study, these methods were applied to the full acoustic survey data in order to examine the distribution of euphausiids in relation to aspects of the physical and biological environment [Lawson, G.L., Wiebe, P.H., Ashjian, C.J., Stanton, T.K., 2008. Euphausiid distribution along the Western Antarctic Peninsula Part B: Distribution of euphausiid aggregations and biomass, and associations with environmental features. Deep-Sea Research II, this issue [doi:10.1016/j.dsr2.2007.11.014]]. (C) 2007 Elsevier Ltd. All rights reserved.</t>
  </si>
  <si>
    <t>[Lawson, Gareth L.; Wiebe, Peter H.; Ashjian, Carin J.] Woods Hole Oceanog Inst, Dept Biol, Woods Hole, MA 02543 USA; [Stanton, Timothy K.] Woods Hole Oceanog Inst, Dept Appl Ocean Phys &amp; Engn, Woods Hole, MA 02543 USA</t>
  </si>
  <si>
    <t>Woods Hole Oceanographic Institution; Woods Hole Oceanographic Institution</t>
  </si>
  <si>
    <t>Lawson, GL (corresponding author), Stanford Univ, Hopkins Marine Stn, 120 Oceanview Blvd, Pacific Grove, CA 93950 USA.</t>
  </si>
  <si>
    <t>glawson@alum.mit.edu</t>
  </si>
  <si>
    <t>Wiebe, Peter/0000-0002-6059-4651</t>
  </si>
  <si>
    <t>10.1016/j.dsr2.2007.11.010</t>
  </si>
  <si>
    <t>WOS:000255119600012</t>
  </si>
  <si>
    <t>Lawson, GL; Wiebe, PH; Ashjian, CJ; Stanton, TK</t>
  </si>
  <si>
    <t>Lawson, Gareth L.; Wiebe, Peter H.; Ashjian, Carin J.; Stanton, Timothy K.</t>
  </si>
  <si>
    <t>Euphausiid distribution along the Western Antarctic Peninsula - Part B: Distribution of euphausiid aggregations and biomass, and associations with environmental features</t>
  </si>
  <si>
    <t>Antarctic krill; euphausiid distribution; acoustics; Western Antarctic Peninsula; Marguerite Bay; Southern Ocean GLOBEC</t>
  </si>
  <si>
    <t>SOUTH SHETLAND ISLANDS; BRANSFIELD STRAIT REGION; CONTINENTAL-SHELF; VERTICAL MIGRATION; ACOUSTIC SURVEYS; MARGUERITE BAY; AUSTRAL FALL; SUPERBA DANA; KRILL; ABUNDANCE</t>
  </si>
  <si>
    <t>The distribution of euphausiids (Euphausia spp.) in the continental shelf region in and around Marguerite Bay, west of the Antarctic Peninsula, was studied in relation to aspects of the physical and biological environment. Acoustic, video, net, and environmental data were collected during surveys in the austral falls and winters of 2001 and 2002.. Application of the analysis methods described in Lawson et al. [2008. Euphausiid distribution along the Western Antarctic Peninsula-Part A: Development of robust multi-frequency acoustic techniques to identify euphausiid aggregations and quantify euphausiid size, abundance, and biomass. Deep-Sea Research II, this issue] to acoustic survey data demonstrated strong seasonal, inter-annual, and spatial variability in krill distribution. The distribution of krill aggregations was characterized by many small aggregations closely spaced relative to one another, punctuated by much fewer aggregations of very large size that accounted for the majority of overall biomass in the region. The greatest number of aggregations was found at depths less than 100 in, but biomass was usually greatest at deeper depths. Similar biomass levels were estimated for both the fall surveys and the winter of 2002 survey, while biomass during the winter of 2001 was an order of magnitude smaller. During fall, biomass estimates vertically integrated over the sampled portion of the water column were negatively associated with chlorophyll a concentrations, and some suggestion was observed of highest biomass in regions of lowest current magnitude and horizontal current gradient. Generalized additive models indicated that highest krill biomass was consistently associated with regions close to land where the temperature maximum below 200m depth was cooler than what was available over the shelf as a whole. Krill were thus not associated with regions where intrusions of warm and nutrient-rich circumpolar deep water onto the shelf were present, despite such intrusions being thought to be an important driver of primary productivity. (C) 2007 Elsevier Ltd. All rights reserved.</t>
  </si>
  <si>
    <t>Lawson, GL (corresponding author), Stanford Univ, Hopkins Marine Stn, 120 Blvd Oceanview, Pacific Grove, CA 93950 USA.</t>
  </si>
  <si>
    <t>10.1016/j.dsr2.2007.11.014</t>
  </si>
  <si>
    <t>WOS:000255119600013</t>
  </si>
  <si>
    <t>Ashjian, CJ; Davis, CS; Gallager, SM; Wiebe, PH; Lawson, GL</t>
  </si>
  <si>
    <t>Ashjian, Carin J.; Davis, Cabell S.; Gallager, Scott M.; Wiebe, Peter H.; Lawson, Gareth L.</t>
  </si>
  <si>
    <t>Distribution of larval krill and zooplankton in association with hydrography in Marguerite Bay, Antarctic Peninsula, in austral fall and winter 2001 described using the Video Plankton Recorder</t>
  </si>
  <si>
    <t>plankton; krill; Antarctica; biological-physical interactions</t>
  </si>
  <si>
    <t>SOUTHERN-OCEAN GLOBEC; MARGINAL ICE-ZONE; EUPHAUSIA-SUPERBA; CONTINENTAL-SHELF; GEORGES BANK; WEDDELL SEA; IMAGE RECOGNITION; WEST; ABUNDANCE; GROWTH</t>
  </si>
  <si>
    <t>The Western Antarctic Peninsula is a critical locus of Antarctic krill Euphausia superba abundance and thought to be a site of successful overwintering, particularly for the larval stages. A primary goal of the Southern Ocean GLOBEC program was to describe factors that contribute to the overwintering success of krill in this region. As part of this effort we conducted Video Plankton Recorder (VPR) surveys during austral fall and winter, 2001. The VPR survey yielded high-resolution distributions of larval krill, other plankton, and marine snow in relation to hydrography from a series of transect lines orthogonal to the coast on the continental shelf of the Western Antarctic Peninsula. Four taxa (larval krill, copepods, polychaetes, pteropods) and marine snow were numerous during fall; much lower abundances of all categories were present during winter, with only larval krill, copepods, and polychaetes present in any abundance. Distributions of plankton and marine snow were associated with water-mass types and the vertical structure of the environment, particularly for larval krill that were primarily associated with the pycnocline. During fall, larval krill were present across the entire shelf, with high abundances at the shelf break. Copepods were most numerous at depth during fall, consistent with ontogenetic migration to depth at the onset of winter. (C) 2008 Elsevier Ltd. All rights reserved.</t>
  </si>
  <si>
    <t>[Ashjian, Carin J.; Davis, Cabell S.; Gallager, Scott M.; Wiebe, Peter H.; Lawson, Gareth L.] Woods Hole Oceanog Inst, Dept Biol, Woods Hole, MA 02543 USA</t>
  </si>
  <si>
    <t>Ashjian, CJ (corresponding author), Woods Hole Oceanog Inst, Dept Biol, Woods Hole, MA 02543 USA.</t>
  </si>
  <si>
    <t>cashjian@whoi.edu; cdavis@whoi.edu; sgallager@whoi.edu; pwicbe@whoi.edu; glawson@stanford.edu</t>
  </si>
  <si>
    <t>10.1016/j.dsr2.2007.11.016</t>
  </si>
  <si>
    <t>WOS:000255119600014</t>
  </si>
  <si>
    <t>Verdy, A; Flierl, G</t>
  </si>
  <si>
    <t>Verdy, Ariane; Flierl, Glenn</t>
  </si>
  <si>
    <t>Evolution and social behavior in krill</t>
  </si>
  <si>
    <t>ecological aggregations; social behavior; zooplankton; plankton patchiness; Antarctic krill; ocean turbulence</t>
  </si>
  <si>
    <t>EUPHAUSIA-SUPERBA; ANTARCTIC KRILL; EULERIAN MODEL; AGGREGATION; PATCHINESS; FLOW; INDIVIDUALS; ADVANTAGES; ADVECTION; PLANKTON</t>
  </si>
  <si>
    <t>We simulate the formation of social aggregations in a turbulent fluid environment. The theoretical framework is employed to investigate the ecological consequences of spatial patchiness in the density distribution of krill, which often assemble in swarms or schools. We first describe the formation of aggregations resulting from the interplay of social forces and population dynamics, and then consider an idealized ecosystem model of zooplankton with social behavior who feed on phytoplankton; this is solved analytically for the initial growth of patches and numerically for the steady-state distributions of predator and prey biomass. Environmental variability changes the linear instability criterion for spontaneous aggregation. The second part of the paper addresses the evolution of social behavior in a population with density-dependent mating success. The model simulates the transmission of a gene controlling social behavior; natural selection determines whether the grouping or non-grouping type becomes dominant. It is found that the behavior can evolve when mixing occurs rapidly enough for resources to remain available to the clustered organisms. Turbulent advection prevents the grouping type from becoming dominant if the shear of the flow is strong enough to disrupt the patches; otherwise the aggregated zooplankton benefit from enhanced diffusion of resources by the turbulent flow. (C) 2008 Elsevier Ltd. All rights reserved.</t>
  </si>
  <si>
    <t>[Verdy, Ariane] MIT, WHOI Joint Program Oceanog, MIT, Cambridge, MA 02139 USA; [Flierl, Glenn] MIT, Dept Earth Atmospher &amp; Planetary Sci, Cambridge, MA 02139 USA</t>
  </si>
  <si>
    <t>Massachusetts Institute of Technology (MIT); Massachusetts Institute of Technology (MIT)</t>
  </si>
  <si>
    <t>Verdy, A (corresponding author), MIT, WHOI Joint Program Oceanog, MIT, 77 Massachusetts Ave, Cambridge, MA 02139 USA.</t>
  </si>
  <si>
    <t>averdy@ocean.mit.edu</t>
  </si>
  <si>
    <t>Verdy, Ariane/B-6470-2008</t>
  </si>
  <si>
    <t>Verdy, Ariane/0000-0002-2774-2691</t>
  </si>
  <si>
    <t>10.1016/j.dsr2.2007.11.001</t>
  </si>
  <si>
    <t>WOS:000255119600015</t>
  </si>
  <si>
    <t>Ribic, CA; Chapman, E; Fraser, WR; Lawson, GL; Wiebe, PH</t>
  </si>
  <si>
    <t>Ribic, Christine A.; Chapman, Erik; Fraser, William R.; Lawson, Gareth L.; Wiebe, Peter H.</t>
  </si>
  <si>
    <t>Top predators in relation to bathymetry, ice and krill during austral winter in Marguerite Bay, Antarctica</t>
  </si>
  <si>
    <t>Adelie penguin; crabeater seat; krill; habitat associations; bathymetry; Marguerite Bay</t>
  </si>
  <si>
    <t>CONTINENTAL-SHELF; PREY INTERACTIONS; BRUNNICHS GUILLEMOTS; SPATIAL-DISTRIBUTION; HABITAT USE; PRYDZ BAY; FUR SEALS; SEABIRDS; ABUNDANCE; ASSOCIATIONS</t>
  </si>
  <si>
    <t>A key hypothesis guiding the US Southern Ocean Global Ocean Ecosystems Dynamics (US SO GLOBEC) program is that deep across-shelf troughs facilitate the transport of warm and nutrient-rich waters onto the continental shelf of the Western Antarctic Peninsula, resulting in enhanced winter production and prey availability to top predators. We tested aspects of this hypothesis during austral winter by assessing the distribution of the resident pack-ice top predators in relation to these deep across-shelf troughs and by investigating associations between top predators and their prey. Surveys were conducted July-August 2001 and August-September 2002 in Marguerite Bay, Antarctica, with a focus on the main across-shelf trough in the bay, Marguerite Trough. The common pack-ice seabird species were snow petrel (Pagodroma nivea, 1.2 individuals km(-2)), Antarctic petrel (Thalassoica antarctica, 0.3 individuals km(-2)), and Adelie penguin (Pygoscelis adeliae, 0.5 individuals km(-2)). The most common pack-ice pinniped was crabeater seal (Lobodon carcinophagus). During both winters, snow and Antarctic petrels were associated with low sea-ice concentrations independent of Marguerite Trough, while Adelie penguins Occurred in association with this trough. Krill concentrations, both shallow and deep, also were associated with Adelie penguin and snow petrel distributions. During both winters, crabeater seal occurrence was associated with deep krill concentrations and with regions of lower chlorophyll concentration. The area of lower chlorophyll concentrations Occurred in an area with complex bathymetry close to land and heavy ice concentrations. Complex or unusual bathymetry via its influence on physical and biological processes appears to be one of the keys to understanding how top predators survive during the winter in this Antarctic region. (C) 2007 Elsevier Ltd. All rights reserved.</t>
  </si>
  <si>
    <t>[Ribic, Christine A.] Univ Wisconsin, Dept Forest &amp; Wildlife Ecol, US Geol Survey Wisconsin Cooperat Wildlife Res Un, Madison, WI 53706 USA; [Chapman, Erik] Old Dominion Univ, CCPO, Norfolk, VA 23508 USA; [Fraser, William R.] Polar Oceans Res Grp, Sheridan, MT 59749 USA; [Lawson, Gareth L.] Stanford Univ, Hopkins Marine Stn, Pacific Grove, CA 93950 USA; [Fraser, William R.] Woods Hole Oceanog Inst, Dept Biol, Woods Hole, MA 02543 USA</t>
  </si>
  <si>
    <t>University of Wisconsin System; University of Wisconsin Madison; Old Dominion University; Stanford University; Woods Hole Oceanographic Institution</t>
  </si>
  <si>
    <t>Ribic, CA (corresponding author), Univ Wisconsin, Dept Forest &amp; Wildlife Ecol, US Geol Survey Wisconsin Cooperat Wildlife Res Un, 204 Russell Labs,1630 Linden Dr, Madison, WI 53706 USA.</t>
  </si>
  <si>
    <t>caribic@wisc.edu</t>
  </si>
  <si>
    <t>Office of Polar Programs (OPP); Directorate For Geosciences [0823101] Funding Source: National Science Foundation</t>
  </si>
  <si>
    <t>Office of Polar Programs (OPP); Directorate For Geosciences(National Science Foundation (NSF)NSF - Directorate for Geosciences (GEO))</t>
  </si>
  <si>
    <t>10.1016/j.dsr2.2007.11.006</t>
  </si>
  <si>
    <t>WOS:000255119600016</t>
  </si>
  <si>
    <t>Burns, JM; Hindell, MA; Bradshaw, CJA; Costa, DP</t>
  </si>
  <si>
    <t>Burns, J. M.; Hindell, M. A.; Bradshaw, C. J. A.; Costa, D. P.</t>
  </si>
  <si>
    <t>Fine-scale habitat selection of crabeater seals as determined by diving behavior</t>
  </si>
  <si>
    <t>diet; krill; crabeater seal; diving patterns; satellite telemetry; spatial analysis</t>
  </si>
  <si>
    <t>SOUTHERN ELEPHANT SEALS; ANTARCTIC FUR SEALS; FORAGING BEHAVIOR; MARGUERITE BAY; LOBODON-CARCINOPHAGUS; SPATIAL-DISTRIBUTION; VERTICAL MIGRATION; HAULOUT BEHAVIOR; OCEAN ECOSYSTEMS; MARINE MAMMALS</t>
  </si>
  <si>
    <t>Previous studies within the Marguerite Bay region of the Antarctic Peninsula (similar to 67 degrees S, similar to 67 degrees W) demonstrated that during winter, crabeater seals (Lobodon carcinophagus) were not randomly distributed across available habitat, but instead were more likely to be located in nearshore waters where bathymetric gradients and ice concentrations were high. Here, we investigate how the diving patterns of crabeater seals vary in response to these habitat characteristies, and interpret seal behaviors in light of information on the distribution of their primary prey, krill (Euphausia superba or Euphausia crystallorophias). Diving and movement patterns were obtained from 34 seals (16 male, 18 female) fitted with satellite-relayed data loggers (SRDLs) during the 2001 and 2002 Southern Ocean GLOBEC cruises. Tags transmitted position and dive information for 4-174 days, during which time we received an average of 21 positions/day, and information on a total of 124,681 dives. A series of generalized linear mixed-effect models (GLMM) were used to evaluate the relationship between diving behavior and temporal and physical features of the habitat, and models contrasted using AIC(c) and BIC weights. Overall, we found that the most parsimonious models included year, month, and period (day, dusk, night). In general, seals dived deeper (158 vs. 73 m) and longer (432 vs. 360 s) during the day than at night. In addition, daytime dives included slightly more time at the foraging depths (142 vs. 102 s), and were slightly more efficient (24% vs. 21% of the dive cycle spent at the bottom). When dive patterns were examined with respect to bathymetry, models indicated that seals were foraging in shallower waters (366 vs. 410m) and closer to the bottom (dives were 50.3% vs. 26.3% of bathymetric depth) during the day than at night. In combination, these findings suggest that crabeater seals foraging during the day exploited zooplankton schools compressed along the bottom. At night, when zooplankton were dispersed and light levels low, foraging activity was less frequent and seals concentrated their diving closer to the surface over a broader range of habitat depths. As individual seals moved an average of only 4.1 +/- 1.4 km between daytime and nighttime positions, these results suggest that crabeater seals diving along the Western Antarctic Peninsula select areas of high bathymetric gradients so that they can maximize foraging success over a 24-h cycle without the need to travel long distances. However, annual differences in behavior and the generally low amount of deviation explained by models also suggests that seals vary their diving behavior in response to finer-scale biological, temporal, and/or physical features that were not monitored as part of this study. (C) 2008 Elsevier Ltd. All rights reserved.</t>
  </si>
  <si>
    <t>[Burns, J. M.] Univ Alaska Anchorage, Dept Biol Sci, Anchorage, AK 99508 USA; [Hindell, M. A.; Bradshaw, C. J. A.] Univ Tasmania, Antartic Wildlife Res Unit, Sch Zool, Hobart, Tas 7001, Australia; [Bradshaw, C. J. A.] Charles Darwin Univ, Inst Adv Studies, Sch Environm Res, Darwin, NT 0909, Australia; [Costa, D. P.] Univ Calif Santa Cruz, Dept Ecol &amp; Evolutionary Biol, Santa Cruz, CA 95060 USA</t>
  </si>
  <si>
    <t>University of Alaska System; University of Alaska Anchorage; University of Tasmania; Charles Darwin University; University of California System; University of California Santa Cruz</t>
  </si>
  <si>
    <t>Burns, JM (corresponding author), Univ Alaska Anchorage, Dept Biol Sci, 3211 Providence Dr, Anchorage, AK 99508 USA.</t>
  </si>
  <si>
    <t>jburns@uaa.alaska.edu</t>
  </si>
  <si>
    <t>Burns, Jennifer M/C-4159-2013; Bradshaw, Corey J. A./A-1311-2008; Hindell, Mark A/C-8368-2013; Burns, Jennifer/AAC-8243-2019; Carlos, Universidade Federal de São/W-8832-2019; Hindell, Mark A/K-1131-2013; Costa, Daniel Paul/E-2616-2013</t>
  </si>
  <si>
    <t>Bradshaw, Corey J. A./0000-0002-5328-7741; Burns, Jennifer/0000-0001-9652-2943; Carlos, Universidade Federal de São/0000-0002-0334-3899; Hindell, Mark/0000-0002-7823-7185; Costa, Daniel Paul/0000-0002-0233-5782</t>
  </si>
  <si>
    <t>10.1016/j.dsr2.2007.11.012</t>
  </si>
  <si>
    <t>WOS:000255119600017</t>
  </si>
  <si>
    <t>McDonald, BI; Crocker, DE; Burns, JM; Costa, DP</t>
  </si>
  <si>
    <t>McDonald, Birgitte I.; Crocker, Daniel E.; Burns, Jennifer M.; Costa, Daniel P.</t>
  </si>
  <si>
    <t>Body condition as an index of winter foraging success in crabeater seals (Lobodon carcinophaga)</t>
  </si>
  <si>
    <t>marine mammals; body conditions; body composition; seasonal variations; foraging behavior; crabeater seals</t>
  </si>
  <si>
    <t>HYDROGEN-ISOTOPE-DILUTION; NORTHERN ELEPHANT SEALS; ANTARCTIC PENINSULA; MIROUNGA-LEONINA; AEROBIC CAPACITIES; BLUBBER THICKNESS; EUPHAUSIA-SUPERBA; SKELETAL-MUSCLES; DIVING BEHAVIOR; WEDDELL SEALS</t>
  </si>
  <si>
    <t>Body composition is a direct measure of body condition and as such integrates seasonal variation in foraging success and energy expenditure. In phocids, body condition is a critical determinant of both reproductive effort and ability to survive periods of poor foraging success. We determined body composition in 29 crabeater seals, Lobodon carcinophaya, during austral autumn (April-May 2002) and late winter (August-September 2001, 2002) off the Antarctic Peninsula by measuring blubber depth and taking morphometric (length, girth) measurements. In 15 of these seals, we also measured body composition using the labeled-water dilution technique. The two methods produced similar body composition estimates, with an average difference of 7%. There were no differences in body composition between adult males and females or between autumn and late winter. These findings Suggest that by autumn, adult seals have replenished their energy stores following reproduction and molt. Similarly, the absence of seasonal variation in adults indicates that seals are Successfully foraging throughout winter. In addition to providing insight into seasonal and age-related variation in body composition, this study provides baseline body condition data that can be used to measure impacts of natural or anthropogenic environmental change oil one of the large consumers of Antarctic krill. (C) 2008 Published by Elsevier Ltd.</t>
  </si>
  <si>
    <t>[McDonald, Birgitte I.; Costa, Daniel P.] Univ Calif Santa Cruz, Dept Ecol &amp; Evolutionary Biol, Long Marine Lab, Santa Cruz, CA 95060 USA; [Crocker, Daniel E.] Sonoma State Univ, Dept Biol, Rohnert Pk, CA 94928 USA; [Burns, Jennifer M.] Univ Alaska, Dept Biol Sci, Anchorage, AK 99508 USA</t>
  </si>
  <si>
    <t>University of California System; University of California Santa Cruz; California State University System; Sonoma State University; University of Alaska System; University of Alaska Anchorage</t>
  </si>
  <si>
    <t>McDonald, BI (corresponding author), Univ Calif Santa Cruz, Dept Ecol &amp; Evolutionary Biol, Long Marine Lab, 100 Shaffer Rd, Santa Cruz, CA 95060 USA.</t>
  </si>
  <si>
    <t>mcdonald@biology.ucsc.edu</t>
  </si>
  <si>
    <t>Carlos, Universidade Federal de São/W-8832-2019; Burns, Jennifer M/C-4159-2013; McDonald, Birgitte I/I-3602-2019; Burns, Jennifer/AAC-8243-2019; Vazquez-Dominguez, Guillermo GVD/L-7818-2014; Costa, Daniel Paul/E-2616-2013</t>
  </si>
  <si>
    <t>Carlos, Universidade Federal de São/0000-0002-0334-3899; McDonald, Birgitte I/0000-0001-5028-066X; Burns, Jennifer/0000-0001-9652-2943; Costa, Daniel Paul/0000-0002-0233-5782</t>
  </si>
  <si>
    <t>10.1016/j.dsr2.2007.11.002</t>
  </si>
  <si>
    <t>WOS:000255119600018</t>
  </si>
  <si>
    <t>Donnelly, J; Torres, JJ</t>
  </si>
  <si>
    <t>Donnelly, Joseph; Torres, Joseph J.</t>
  </si>
  <si>
    <t>Pelagic fishes in the Marguerite Bay region of the West Antarctic Peninsula continental shelf</t>
  </si>
  <si>
    <t>pelagic fishes; continental shelf; distribution; assemblage; Western Antarctic Peninsula; Marguerite Bay</t>
  </si>
  <si>
    <t>KING GEORGE ISLAND; AUSTRAL FALL; COMMUNITY STRUCTURE; FEEDING ECOLOGY; WEDDELL SEA; WINTER; CIRCULATION; EASTERN; WATERS; MACROZOOPLANKTON</t>
  </si>
  <si>
    <t>Pelagic fishes in the Marguerite Bay region of the western Antarctic Peninsula (WAP) continental margin were sampled using a 10-m(2) MOCNESS as part of the Southern Ocean Global Ocean Ecosystems Dynamics (SO GLOBEC) program. Sixty-two tows were completed during the course of four cruises conducted during the austral fall and winter, 22 each during the austral fall, and 9 each during the austral winter. Six thousand and sixty individuals of 34 species representing 13 families were collected in the fall, while 672 individuals of 22 species from 10 families were collected in the winter. Nearly all of the notothenioid specimens collected (families Artedraconidae, Bathydraconidae, Channichthyidae, and Nototheniidae) were either larvae or young juveniles (0-2 years). Conversely, except for the paralepidid Notolepis coatsi and the occasional juveniles of the bathylagid Bathylagus antarcticus, the gonostomatid Cyclothone kobayashii, or the myctophid Electrona antarctica, the non-notothenioid specimens collected were predominantly adults. In the fall, the nototheniids Pleuragramma antarcticum and Trematomus scotti, and the myctophid E antarctica numerically dominated the overall assemblage, collectively accounting for 89.7% of the total catch. In the winter, E antarctica, Cyclothone microdon, and R antarcticus were the numerical dominants, each contributing 14-20% of the total. The pelagic fish community within the Marguerite Bay region of the WAP continental shelf is a variable mixture of mesopelagic and neritic fauna. At one extreme is an oceanic assemblage exhibiting high-diversity indices and characterized by the genera Electrona, Gymnoscopelus, Protomyctophum, Bathylagus, Cyclothone, and Notolepis. Minor components of this group include numerous less common mesopelagic genera (e.g., Paradiplospinus, Lampanyctus, Benthalbella, Borostomias) and the occasional larval/juvenile notothenioid. At the other extreme is a coastal assemblage with low-diversity indices dominated by larval and juvenile notothenioids, particularly Pleuragramma antarcticum This assemblage is also characterized by a numerically low but consistent liparid and zoarcid component, with the latter group often contributing disproportionately to the total biomass. The degree of overlap between the two assemblages and the relative dominance of representative species is directly related to local hydrographic conditions, in particular the presence of Circumpolar Deep Water (CDW). The unique hydrographic conditions of the WAP shelf and the accompanying spatial heterogeneity in pelagic ichthyofauna provide a striking contrast to the continental margin areas of the Ross, Weddell, Davis, and Dumont d'Urville Seas where sharp temperature gradients near the shelf break result in a clear separation of oceanic and coastal assemblages. (C) 2007 Elsevier Ltd. All rights reserved.</t>
  </si>
  <si>
    <t>[Donnelly, Joseph; Torres, Joseph J.] Univ S Florida, Coll Marine Sci, St Petersburg, FL 33701 USA</t>
  </si>
  <si>
    <t>Torres, JJ (corresponding author), Univ S Florida, Coll Marine Sci, 140 7th Ave S, St Petersburg, FL 33701 USA.</t>
  </si>
  <si>
    <t>jtorres@marine.usf.edu</t>
  </si>
  <si>
    <t>10.1016/j.dsr2.2007.11.015</t>
  </si>
  <si>
    <t>WOS:000255119600019</t>
  </si>
  <si>
    <t>Nicol, S; Clarke, J; Romaine, SJ; Kawaguchi, S; Williams, G; Hosie, GW</t>
  </si>
  <si>
    <t>Nicol, S.; Clarke, J.; Romaine, S. J.; Kawaguchi, S.; Williams, G.; Hosie, G. W.</t>
  </si>
  <si>
    <t>Krill (Euphausia superba) abundance and Adelie penguin (Pygoscelis adeliae) breeding performance in the waters off the Bechervaise Island colony, East Antarctica in 2 years with contrasting ecological conditions</t>
  </si>
  <si>
    <t>krill; acoustics; penguins; breeding success; CEMP</t>
  </si>
  <si>
    <t>INTERANNUAL VARIABILITY; MARINE ECOSYSTEM; ACOUSTIC SURVEYS; SEX-DIFFERENCES; POPULATION; CYCLE; MANAGEMENT; PREDATORS; RESPONSES; DYNAMICS</t>
  </si>
  <si>
    <t>In 2001 and 2003 small-scale acoustic surveys of Antarctic krill (Euphausia superba) distribution and abundance were conducted offshore from an East Antarctic colony of Adelie penguins on Bechervaise Island (67 degrees 35'S, 62 degrees 49'E) that has been monitored for 15 years. Although the distribution of krill was similar between the two summers, their abundance in 2001 was estimated to be 3 times higher than in 2003. This biomass difference was reflected in the breeding performance of the penguins at the monitored colony. Significant differences were observed between the two seasons in foraging trip duration during chick rearing, breeding success, meal mass and dietary composition. Penguins travelled further to forage in 2003 than 2001, stayed away longer and brought back smaller meals. Fish (mostly Pleuragramma antarcticum) contributed significantly to the diet in 2003 but were only a minor component in 2001. Differences between years were particularly apparent during the late guard to early creche stages of chick rearing, coinciding with the timing of the krill survey. Chick mortality peaked during this period also. Krill demographics showed little difference between the 2 years. Oceanographically, the two summers differed; in 2003 the mixed layer was fresher and shallower, indicating a delayed melting of sea-ice in the study area when compared to 2001. Satellite observations indicated that the pack-ice directly offshore from the Mawson coast broke out earlier in 2001 and the perennial fast-ice along the coast persisted later in 2003. Crown Copyright (C) 2007 Published by Elsevier Ltd. All rights reserved.</t>
  </si>
  <si>
    <t>[Nicol, S.; Clarke, J.; Kawaguchi, S.; Hosie, G. W.] Australian Antarctic Div, Dept Environm Water Heritage &amp; Arts, Kingston, Tas 7050, Australia; [Romaine, S. J.] Inst Ocean Sci, Fisheries &amp; Oceans Canada, Sidney, BC V8L 4B2, Canada; [Williams, G.] ACECRC, Hobart, Tas, Australia</t>
  </si>
  <si>
    <t>Australian Antarctic Division; Fisheries &amp; Oceans Canada</t>
  </si>
  <si>
    <t>Nicol, S (corresponding author), Australian Antarctic Div, Dept Environm Water Heritage &amp; Arts, Channel Highway, Kingston, Tas 7050, Australia.</t>
  </si>
  <si>
    <t>Steve.Nicol@aad.gov.au</t>
  </si>
  <si>
    <t>Kawaguchi, So/N-1795-2017</t>
  </si>
  <si>
    <t>Kawaguchi, So/0000-0002-2042-5095</t>
  </si>
  <si>
    <t>10.1016/j.dsr2.2007.11.013</t>
  </si>
  <si>
    <t>WOS:000255119600020</t>
  </si>
  <si>
    <t>Blain, S; Quéguiner, B; Trull, T</t>
  </si>
  <si>
    <t>Blain, Stephane; Queguiner, Bernard; Trull, Thomas</t>
  </si>
  <si>
    <t>The natural iron fertilization experiment KEOPS (KErguelen Ocean and Plateau compared Study):: An overview</t>
  </si>
  <si>
    <t>SOUTHERN-OCEAN; CARBON SEQUESTRATION; TIME</t>
  </si>
  <si>
    <t>[Blain, Stephane; Queguiner, Bernard] Aix Marseille Univ, CNRS, LOB, OSU Ctr Oceanog &amp; Biogeochim,UMR 6535, F-13288 Marseille, France; [Trull, Thomas] Antarctic Climate &amp; Ecosyst Cooperat Res Ctr, Hobart, Tas, Australia; [Trull, Thomas] Univ Tasmania, Inst Antarctic &amp; So Ocean Studies, Hobart, Tas 7001, Australia; [Trull, Thomas] CSIRO Marine &amp; Atmospher Res, Hobart, Tas, Australia</t>
  </si>
  <si>
    <t>Centre National de la Recherche Scientifique (CNRS); Aix-Marseille Universite; Antarctic Climate &amp; Ecosystems Cooperative Research Centre (ACE CRC); University of Tasmania; Commonwealth Scientific &amp; Industrial Research Organisation (CSIRO)</t>
  </si>
  <si>
    <t>Blain, S (corresponding author), Aix Marseille Univ, CNRS, LOB, OSU Ctr Oceanog &amp; Biogeochim,UMR 6535, Campus Luminy,Case 901, F-13288 Marseille, France.</t>
  </si>
  <si>
    <t>stephane.blain@obs-banyuls.fr</t>
  </si>
  <si>
    <t>Quéguiner, Bernard/B-4060-2008; Trull, Tom W/B-7028-2014; blain, stephane/F-6917-2010</t>
  </si>
  <si>
    <t>Quéguiner, Bernard/0000-0001-5020-8297; blain, stephane/0000-0002-5234-2446</t>
  </si>
  <si>
    <t>5-7</t>
  </si>
  <si>
    <t>10.1016/j.dsr2.2008.01.002</t>
  </si>
  <si>
    <t>313MZ</t>
  </si>
  <si>
    <t>WOS:000256746000001</t>
  </si>
  <si>
    <t>Park, YH; Roquet, F; Durand, I; Fuda, JL</t>
  </si>
  <si>
    <t>Park, Young-Hyang; Roquet, Fabien; Durand, Isabelle; Fuda, Jean-Luc</t>
  </si>
  <si>
    <t>Large-scale circulation over and around the Northern Kerguelen Plateau</t>
  </si>
  <si>
    <t>circulation; Kerguelen Plateau; KEOPS</t>
  </si>
  <si>
    <t>WESTERN BOUNDARY CURRENT; NEAR-SURFACE VELOCITY; SOUTH INDIAN-OCEAN; FRONTAL STRUCTURE; CROZET BASIN; TRANSPORT; WATER; ALTIMETRY; FIELDS; SECTOR</t>
  </si>
  <si>
    <t>The Kerguelen Plateau is known to constitute a major barrier to the eastward-flowing Antarctic Circumpolar Current. However, there is limited knowledge on the regional circulation due to sparse observations, especially in the Northern Kerguelen Plateau between the Fawn Trough and the Kerguelen Islands. As part of the physical component of the multidisciplinary KEOPS cruise, systematic CTD measurements along three SW-NE oriented sections were made on the latter plateau cutting through the annual phytoplankton bloom across the eastern flank of the plateau into deep water. Major hydrographic features and geostrophic velocities perpendicular to the sections were first documented from these in situ observations. In order to interpret the results within the general circulation context and to trace the upstream pathways of the observed water masses, we established a synthetic picture of the large-scale circulation over and around the entire Northern Kerguelen Plateau, using the combination of new data from KEOPS with historical hydrographic data together with all available information on mid-depth and near-surface velocities derived from autonomous floats, surface drifting buoys, and satellite altimetry. This synthesis shows that the time-mean geostrophic flow over the shallow platform is sluggish (of the order of 3-5 cm s(-1)) with a general anticyclonic circulation roughly following the local bathymetry. This weak flow is bordered to the cast by relatively strong (up to 18 cm s(-1)) northwestward flow along the eastern flank of the Northern Kerguelen Plateau due to a northward bifurcation of cold Antarctic waters of eastern Enderby Basin origin carried by the powerful Fawn Trough Current. We have shown the utmost importance of the general circulation for the spatial distribution of primary productivity in that the sluggish circulation over the complex shallow topography of the Northern Kerguelen Plateau may precondition the recurrence of annual blooms, in contrast to neighboring strong advective regimes without blooming in deep water. (C) 2008 Elsevier Ltd. All rights reserved.</t>
  </si>
  <si>
    <t>[Park, Young-Hyang; Roquet, Fabien; Durand, Isabelle] Museum Natl Hist Nat, Dept Milieux &amp; Peuplements Aquat, LOCEAN USM 402, F-75231 Paris 05, France; [Fuda, Jean-Luc] Fac Sci Luminy, Ctr Oceanol Marseille, F-13282 Marseille, France</t>
  </si>
  <si>
    <t>Museum National d'Histoire Naturelle (MNHN); Sorbonne Universite; Aix-Marseille Universite</t>
  </si>
  <si>
    <t>Park, YH (corresponding author), Museum Natl Hist Nat, Dept Milieux &amp; Peuplements Aquat, LOCEAN USM 402, 43 Rue Cuvier, F-75231 Paris 05, France.</t>
  </si>
  <si>
    <t>yhpark@mnhn.fr</t>
  </si>
  <si>
    <t>Roquet, Fabien/N-3221-2019; Roquet, Fabien/D-4848-2013</t>
  </si>
  <si>
    <t>Roquet, Fabien/0000-0003-1124-4564;</t>
  </si>
  <si>
    <t>10.1016/j.dsr2.2007.12.030</t>
  </si>
  <si>
    <t>WOS:000256746000002</t>
  </si>
  <si>
    <t>Armand, LK; Crosta, X; Quéguiner, B; Mosseri, J; Garcia, N</t>
  </si>
  <si>
    <t>Armand, Leanne K.; Crosta, X.; Queguiner, B.; Mosseri, J.; Garcia, N.</t>
  </si>
  <si>
    <t>Diatoms preserved in surface sediments of the northeastern Kerguelen Plateau</t>
  </si>
  <si>
    <t>bacillariophyceae; Sediments; fluff layer; biogenic silica; chlorophyll a; Southern Ocean</t>
  </si>
  <si>
    <t>SOUTHERN-OCEAN SEDIMENTS; INDIAN SECTOR; COMMUNITY STRUCTURE; RESTING SPORES; PHYTOPLANKTON DISTRIBUTION; INTERANNUAL VARIABILITY; PLANKTON DIATOMS; ELEPHANT ISLAND; SEA; WATER</t>
  </si>
  <si>
    <t>An island mass effect was observed from the sedimentary distribution of diatoms on the northeastern Kerguelen Plateau. Five new samples placed in context to species distributions previously reported from the Permanently Open Ocean Zone (POOZ) revealed a plateau community dominated by three species/taxa: Fragilariopsis kerguelensis, Thalassionema nitzschioides f. nitzschioides and Chaetoceros Hyalochaete resting spores. Intermediate abundances of Thalassiosira antarctica were unique to the plateau sediment signature as were increased abundances of Eucampia antarctica v. antarctica. The off-plateau sediment sample contained typical POOZ sediment distributions dominated by F kerguelensis, Thalassiosira lentiginosa and Thalassiothrix antarctica. The role of deposition from the surface waters to the sediments was investigated by comparison to the diatom thanatocoenose observed in surface waters. These results suggest that the use of sediment abundances of C Hyalochaete resting spores and F kerguelensis to determine past productivity events (such as wind-sourced iron enrichment of the Southern Ocean at the Last Glacial Maximum) is not straightforward. The elevated abundance of T. nitzschioides f. nitzschioides on the plateau did not indicate an iron-deplete regime but the converse. For the evaluation of paleo-productivity hypotheses for the open Southern Ocean, we Suggest caution in the use of Subantarctic and Kerguelen Plateau sediment signatures, and emphasize that there is a need to also study Antarctic coastal and especially sea-ice melt-water stimulated blooms. (C) 2008 Elsevier Ltd. All rights reserved.</t>
  </si>
  <si>
    <t>[Armand, Leanne K.; Queguiner, B.; Mosseri, J.; Garcia, N.] Aix Marseille Univ, CNRS, LOB, OSU Ctr Oceanol Marseille,UMR 6535, Marseille, France; [Crosta, X.] Univ Bordeaux 1, CNRS, EPOC, UMR 5805, F-33405 Talence, France</t>
  </si>
  <si>
    <t>Centre National de la Recherche Scientifique (CNRS); Aix-Marseille Universite; Universite de Bordeaux; Centre National de la Recherche Scientifique (CNRS); CNRS - National Institute for Earth Sciences &amp; Astronomy (INSU)</t>
  </si>
  <si>
    <t>Armand, LK (corresponding author), Aix Marseille Univ, CNRS, LOB, OSU Ctr Oceanol Marseille,UMR 6535, Marseille, France.</t>
  </si>
  <si>
    <t>leanne.armand@utas.edu.au</t>
  </si>
  <si>
    <t>Quéguiner, Bernard/B-4060-2008; Armand, Leanne K/C-9004-2009</t>
  </si>
  <si>
    <t>Quéguiner, Bernard/0000-0001-5020-8297; Armand, Leanne/0000-0003-3995-308X</t>
  </si>
  <si>
    <t>10.1016/j.dsr2.2007.12.032</t>
  </si>
  <si>
    <t>WOS:000256746000009</t>
  </si>
  <si>
    <t>Carlotti, F; Thibault-Botha, D; Nowaczyk, A; Lefèvre, D</t>
  </si>
  <si>
    <t>Carlotti, Francois; Thibault-Botha, Delphine; Nowaczyk, Antoine; Lefevre, Dominique</t>
  </si>
  <si>
    <t>Zooplankton community structure, biomass and role in carbon fluxes during the second half of a phytoplankton bloom in the eastern sector of the Kerguelen Shelf (January-February 2005)</t>
  </si>
  <si>
    <t>zooplankton; Kerguelen Island; Heard Island; biomass; composition; carbon budget</t>
  </si>
  <si>
    <t>OPTICAL PLANKTON COUNTER; ANTARCTIC CIRCUMPOLAR CURRENT; DIEL VERTICAL MIGRATION; SOUTH GEORGIA; INDIAN SECTOR; MESOZOOPLANKTON COMMUNITY; MESOSCALE DISTRIBUTION; POPULATION-DYNAMICS; FEEDING SELECTIVITY; IRON-FERTILIZATION</t>
  </si>
  <si>
    <t>During the KEOPS survey, zooplankton was sampled with vertical tows to estimate zooplankton stock and to study its composition and size structure both using traditional taxonomic identification and Optical Plankton Counter (OPC). Mesozooplankton OPC-biomass derived from OPC size spectra and integrated over 200 in was variable with average values about 10 g C m(-2) along transects A and B and at the fixed station KERFIX, and only similar to 5 g C m(-2) along transect C. Stations in the most oceanic area (A11, B11, and C11) presented biomass values 3 times lower than the mean value of their respective transects, highlighting a clear decrease of the biomass beyond the shelf. The mesozooplankton community was dominated by copepods, particularly by large- and medium-size calanoids and small Oithonidae. Large numbers of different copepodites stages and nauplii were found, as well as exuviae, indicating that individuals were in active growing phase over the whole area. Euphausiids, chaetognaths, appendicularians, amphipods, polychaetes, ostracods and salps were found as well. Two reference stations, A3 located in the middle of the bloom on the shelf and C11 in the oceanic waters, were visited several times during the cruise. No particular temporal variations, neither in biomass nor in community structure, were observed, but differences in integrated biomass (average biomass at A3: 10.6 g C m(-2). at C11: 2.8 g C m(-2)) between oceanic and shelf stations clearly show an enhanced secondary production on the shelf. Additional measurements at some stations were performed in order to quantify ingestion (gut contents) and respiration rates on key species and size groups. Gut pigment contents were higher during the first half of the survey at both stations, showing clear temporal changes probably linked to the prey field, with lower values always reported in the oceanic waters compared to the shelf. Values of respiration and ingestion rates extrapolated from OPC size spectra using published allometric relationships are discussed. (C) 2008 Elsevier Ltd. All rights reserved.</t>
  </si>
  <si>
    <t>[Carlotti, Francois; Thibault-Botha, Delphine; Nowaczyk, Antoine] Aix Marseille Univ, CNRS, OSU Ctr Oceanol Marseille, LOB,UMR 6535, F-13288 Marseille 09, France; [Carlotti, Francois; Thibault-Botha, Delphine; Nowaczyk, Antoine] CNRS INSU, UMR 6535, F-13288 Marseille 09, France; [Lefevre, Dominique] Aix Marseille Univ, CNRS, LMGEM, OSU Ctr Oceanol Marseille,UMR 6117, F-13288 Marseille, France</t>
  </si>
  <si>
    <t>Aix-Marseille Universite; Centre National de la Recherche Scientifique (CNRS); Centre National de la Recherche Scientifique (CNRS); CNRS - National Institute for Earth Sciences &amp; Astronomy (INSU); Aix-Marseille Universite; Centre National de la Recherche Scientifique (CNRS)</t>
  </si>
  <si>
    <t>Carlotti, F (corresponding author), Aix Marseille Univ, CNRS, OSU Ctr Oceanol Marseille, LOB,UMR 6535, Case 901, F-13288 Marseille 09, France.</t>
  </si>
  <si>
    <t>francois.carlotti@univmed.fr</t>
  </si>
  <si>
    <t>Thibault, Delphine/AAR-4300-2020; Lefevre, Dominique/AAN-8201-2021</t>
  </si>
  <si>
    <t>Lefevre, Dominique/0000-0003-1694-3807</t>
  </si>
  <si>
    <t>10.1016/j.dsr2.2007.12.010</t>
  </si>
  <si>
    <t>WOS:000256746000012</t>
  </si>
  <si>
    <t>Sarthou, G; Vincent, D; Christaki, U; Obernosterer, I; Timmermans, KR; Brussaard, CPD</t>
  </si>
  <si>
    <t>Sarthou, Geraldine; Vincent, Dorothee; Christaki, Urania; Obernosterer, Ingrid; Timmermans, Klaas R.; Brussaard, Corina P. D.</t>
  </si>
  <si>
    <t>The fate of biogenic iron during a phytoplankton bloom induced by natural fertilisation: Impact of copepod grazing</t>
  </si>
  <si>
    <t>iron; regeneration; food web; copepod; grazing; phytoplankton bloom</t>
  </si>
  <si>
    <t>CENTRAL NORTH PACIFIC; EQUATORIAL PACIFIC; FEEDING-BEHAVIOR; HETEROTROPHIC BACTERIA; MARINE-PHYTOPLANKTON; ANTARCTIC COPEPODS; ORGANIC-LIGANDS; TRACE-ELEMENTS; OCEAN; LIMITATION</t>
  </si>
  <si>
    <t>The impact of copepod grazing on Fe regeneration was investigated in a naturally iron-fertilised area during Kerguelen Ocean and Plateau compared Study (KEOPS, Jan.-Feb. 2005). Fe-55-labelled natural plankton assemblages (&lt;200 mu m) were offered as food to copepod predators sampled in the field (Calanus propinquus, Rhincalanus gigas, Metridia lucens and Oithona frigida). Diatoms (Eucampia antarctica, Corethron inerme and Navicula spp.) constituted the bulk of the protists whereas microzooplankton (i.e. ciliates and dinoflagellates) were in very low abundance. Copepod grazing on phytoplankton ranged from 0.3 to 2.6 mu gC ind(-1) d(-1) and reflected low utilisation of the food stocks (1-10% of total Chlorophyll a d(-1)) and low daily rations (0.2-3.3% body C d(-1)). Copepod grazing resulted in a 1.7-2.3-fold increase in Fe regeneration. Less than 1% of the regenerated Fe was complexed with hydrophobic organic ligands, as determined by extraction onto hydrophobic C18 columns. This suggests that Fe was regenerated as inorganic species and/or bound to freely soluble organic ligands. The biogenic Fe budget established from our study and literature based data indicates that most of the primary production is recycled through the detrital pool, which represents the largest Fe pool (49% of total Fe). Our iron budget further indicates that mesozooplankton and diatoms represent the dominant Fe biomasses above the Kerguelen plateau. The rate of Fe regeneration accounts for half of the Fe demand, strengthening the need for new Fe sources to sustain the massive phytoplankton bloom above the Kerguelen plateau. (C) 2008 Elsevier Ltd. All rights reserved.</t>
  </si>
  <si>
    <t>[Sarthou, Geraldine] LEMAR, CNRS, UMR 6539, F-29280 Plouzane, France; [Vincent, Dorothee; Christaki, Urania] Univ Littoral Cote dOpale, CNRS, LOG, UMR 8187, F-62930 Wimereux, France; [Obernosterer, Ingrid] Univ Paris 06, Lab ARAGO, F-66650 Banyuls Sur Mer, France; [Obernosterer, Ingrid] CNRS, Lab Oceanog Biolog Banyuls, UMR7621, F-66650 Banyuls Sur Mer, France; [Timmermans, Klaas R.; Brussaard, Corina P. D.] Netherlands Inst Sea Res, NL-1790 AB Den Burg, Netherlands</t>
  </si>
  <si>
    <t>Universite de Bretagne Occidentale; Centre National de la Recherche Scientifique (CNRS); CNRS - Institute of Ecology &amp; Environment (INEE); Ifremer; Institut de Recherche pour le Developpement (IRD); Universite du Littoral-Cote-d'Opale; Centre National de la Recherche Scientifique (CNRS); CNRS - National Institute for Earth Sciences &amp; Astronomy (INSU); Sorbonne Universite; Centre National de la Recherche Scientifique (CNRS); CNRS - National Institute for Earth Sciences &amp; Astronomy (INSU); Sorbonne Universite; Utrecht University; Royal Netherlands Institute for Sea Research (NIOZ)</t>
  </si>
  <si>
    <t>Sarthou, G (corresponding author), LEMAR, CNRS, UMR 6539, Technopole Brest Iroise,Pl Nicolas Copernic, F-29280 Plouzane, France.</t>
  </si>
  <si>
    <t>Geraldine.Sarthou@univ-brest.fr</t>
  </si>
  <si>
    <t>Vincent, Dorothee/I-8109-2013; Obernosterer, Ingrid/A-5434-2011</t>
  </si>
  <si>
    <t>Obernosterer, Ingrid/0000-0002-2530-8111; VINCENT, Dorothee/0000-0003-0931-3014; Sarthou, Geraldine/0000-0001-6560-6669; timmermans, klaas/0000-0002-3214-4354; Christaki, Urania/0000-0002-2061-5278</t>
  </si>
  <si>
    <t>10.1016/j.dsr2.2007.12.033</t>
  </si>
  <si>
    <t>WOS:000256746000013</t>
  </si>
  <si>
    <t>Trull, TW; Davies, D; Casciotti, K</t>
  </si>
  <si>
    <t>Trull, Thomas W.; Davies, Diana; Casciotti, Karen</t>
  </si>
  <si>
    <t>Insights into nutrient assimilation and export in naturally iron-fertilized waters of the Southern Ocean from nitrogen, carbon and oxygen isotopes</t>
  </si>
  <si>
    <t>iron fertilization; Southern Ocean; nitrate isotopes</t>
  </si>
  <si>
    <t>PARTICULATE ORGANIC-CARBON; PLANKTONIC COMMUNITY STRUCTURE; INORGANIC CARBON; INDIAN SECTOR; TIME-SERIES; NITRATE; PHYTOPLANKTON; FRACTIONATION; DELTA-C-13; PARTICLES</t>
  </si>
  <si>
    <t>The KErguelen Ocean and Plateau compared Study (KEOPS) documented enhanced iron input and phytoplankton biomass over the deep Kerguelen plateau in comparison to surrounding high-nutrient low-chlorophyll (HNLC) waters in late summer 2005. We examined the influence of this iron on nitrogen and carbon metabolism by the microbial food-web, by comparing samples from on-plateau and off-plateau. Suspended particulate organic carbon (POC) was similar to 5 times more abundant on-plateau and exhibited greater POC/PON (similar to 6.5 vs. similar to 5.5), delta C-13-POC (similar to-21.5 vs. similar to-24.5%.) and delta N-15-PON (similar to +2 vs. similar to 0 parts per thousand) than off-plateau. These differences arose in part from changes in ecosystem structure as demonstrated by size-fractionation (1, 5, 20, 55, 210, and 335-mu m filters in series), which revealed large isotopic variations with size (delta C-13-POC ranged from -28 to -19 parts per thousand and delta N-15-PON from -3 to + 5 parts per thousand) and greater abundances of C-13- and N-15-enriched large phytoplankton over the plateau. The C-13 enrichment in POC reflected faster growth rates and greater draw-down of dissolved inorganic carbon over the plateau. Quantitative comparison to the delta N-15 of dissolved nitrate indicates that the delta N-15-PON enrichment derived from increased assimilation of nitrate, corresponding to new production f-ratios of 0.7-0.9 on-plateau vs. 0.4-0.6 off-plateau. Results from a sparse set of free-drifting sediment trap samples suggest control of export by zooplankton grazing. The N-15 and O-18 enrichments in dissolved nitrate exhibited a 1:1 correlation, indicating that phytoplankton assimilation controls nitrate availability and only a relatively small amount of nitrate was regenerated by nitrification. The delta N-15-NO3 values yield indistinguishable isotopic fractionation factors on and off the plateau ((15)epsilon(NO3) of 4-5 parts per thousand). This suggests that variations in iron availability may not bias the interpretation of paleo-environmental N-15 records, and leaves intact the view that higher sedimentary delta N-15-PON values during the last glacial maximum indicate greater fractional nitrate depletion in the Southern Ocean. (C) 2008 Elsevier Ltd. All rights reserved.</t>
  </si>
  <si>
    <t>[Trull, Thomas W.; Davies, Diana] Antarctic Climate &amp; Ecosyst Cooperat Res Ctr, Hobart, Tas, Australia; [Trull, Thomas W.] Univ Tasmania, Inst Antarctic &amp; So Ocean Studies, Hobart, Tas 7001, Australia; [Trull, Thomas W.] CSIRO Marine &amp; Atmospher Res, Hobart, Tas, Australia; [Trull, Thomas W.] CNRS CNES UPS IRD, Lab Etud Geophys &amp; Oceanog Spatiales, UMR5566, Toulouse, France; [Casciotti, Karen] Woods Hole Oceanog Inst, Dept Marine Chem &amp; Geochem, Woods Hole, MA 02543 USA</t>
  </si>
  <si>
    <t>Antarctic Climate &amp; Ecosystems Cooperative Research Centre (ACE CRC); University of Tasmania; Commonwealth Scientific &amp; Industrial Research Organisation (CSIRO);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Woods Hole Oceanographic Institution</t>
  </si>
  <si>
    <t>Trull, TW (corresponding author), Univ Tasmania, AEC CRC, PB 80, Hobart, Tas 7001, Australia.</t>
  </si>
  <si>
    <t>Tom.Trull@utas.edu.au</t>
  </si>
  <si>
    <t>Trull, Tom W/B-7028-2014</t>
  </si>
  <si>
    <t>Casciotti, Karen/0000-0002-5286-7795; Davies, Diana M./0000-0001-6304-3938</t>
  </si>
  <si>
    <t>10.1016/j.dsr2.2007.12.035</t>
  </si>
  <si>
    <t>WOS:000256746000019</t>
  </si>
  <si>
    <t>Savoye, N; Trull, TW; Jacquet, SHM; Navez, J; Dehairs, F</t>
  </si>
  <si>
    <t>Savoye, N.; Trull, T. W.; Jacquet, S. H. M.; Navez, J.; Dehairs, F.</t>
  </si>
  <si>
    <t>234Th-based export fluxes during a natural iron fertilization experiment in the Southern Ocean (KEOPS)</t>
  </si>
  <si>
    <t>export flux; Southern Ocean; iron-fertilization experiment; Th-234</t>
  </si>
  <si>
    <t>PARTICULATE ORGANIC-CARBON; ANTARCTIC POLAR FRONT; PRIMARY PRODUCTIVITY; PHYTOPLANKTON BLOOM; SPRING BLOOM; SEA-WATER; ROSS SEA; SEQUESTRATION; THORIUM; SECTOR</t>
  </si>
  <si>
    <t>Five iron-fertilization experiments in the Southern Ocean have clearly demonstrated that adding iron increases primary production, but the implications for carbon export to the ocean interior have been less clear. This reflects both observational limitations of short-term experiments and their uncertain relevance to quantifying ecosystem level processes that are likely to be structured differently under conditions of punctual versus persistent stimulation. To avoid these biases, KEOPS (KErguelen Ocean and Plateau compared Study) investigated the naturally iron-fertilized Kerguelen Plateau region in the Indian Sector of the Southern Ocean that exhibits an annual phytoplankton bloom. Here, we report particulate organic carbon (POC) and nitrogen export from this system based on the Th-234 approach. Results indicate that the export fluxes were variable both on and off the Kerguelen Plateau (9.0-38.4 mmol C m(-2) d(-1) and 1.6-4.8 mmol N m(-2) d(-1)) and were in the range of values reported for natural Southern Ocean ecosystems. Export fluxes were compared at two reference stations, one above and one outside the Plateau. The station above the plateau was characterized by higher iron supply and export fluxes compared to the station outside the plateau. The difference in the export flux between these two reference stations defines the export excess induced by iron fertilization. It was 10.8+/-4.9 mmol C m(-2) d(-1) and 0.9+/-0.7 mmol N m(-2) d(-1) at 100 m, and 14.2 +/- 7.7 mmol C m(-2) d(-1) and 2.0 +/- 1.3 mmol N m(-2) d(-1) at 200 m. This POC export excess was similar to those found during other studies of artificial (SOFeX) and natural (CROZEX) iron fertilization in the Southern Ocean. The examination of the export efficiency (defined as the ratio of export to primary production) revealed significant variability over the plateau related to the temporal decoupling of production and export during the demise of the bloom. On average, the export efficiency was lower over the plateau than in surrounding waters, suggesting that increased iron supply may increase total export but lower export efficiency. Our findings are very important for evaluating present and past carbon cycling in the Southern and global oceans and for assessing predictive scenarios of carbon cycling and budget. (C) 2008 Elsevier Ltd. All rights reserved.</t>
  </si>
  <si>
    <t>[Savoye, N.; Jacquet, S. H. M.; Navez, J.; Dehairs, F.] Vrije Univ Brussel, Dept Analyt &amp; Environm Chem, B-1050 Brussels, Belgium; [Trull, T. W.] Univ Tasmania, CSIRO Marine &amp; Atmospher Res, ACE CRC &amp; IASOS, Hobart, Tas 7001, Australia; [Navez, J.] Rolval Museum Cent Africa, Dept Geol, B-3080 Tervuren, Belgium</t>
  </si>
  <si>
    <t>Vrije Universiteit Brussel; University of Tasmania; Commonwealth Scientific &amp; Industrial Research Organisation (CSIRO); Royal Museum for Central Africa</t>
  </si>
  <si>
    <t>Savoye, N (corresponding author), Univ Bordeaux 1, CNRS, UMR EPOC, OASU,Stn Marine Arcachon, 2 Rue Pr Jolyet, F-33120 Arcachon, France.</t>
  </si>
  <si>
    <t>n.savoye@epoc.u-bordeauxl.fr; Tom.Trull@utas.edu.au; jacquet@cerege.fr; jacques.navez@africamuseum.be; fdehairs@vub.ac.be</t>
  </si>
  <si>
    <t>jacquet, stéphanie/K-8678-2016; Trull, Tom W/B-7028-2014</t>
  </si>
  <si>
    <t>10.1016/j.dsr2.2007.12.036</t>
  </si>
  <si>
    <t>WOS:000256746000020</t>
  </si>
  <si>
    <t>Jouandet, MP; Blain, S; Metzl, N; Brunet, C; Trull, TW; Obernosterer, I</t>
  </si>
  <si>
    <t>Jouandet, Marie Paule; Blain, Stephane; Metzl, Nicolas; Brunet, Christian; Trull, Thomas W.; Obernosterer, Ingrid</t>
  </si>
  <si>
    <t>A seasonal carbon budget for a naturally iron-fertilized bloom over the Kerguelen Plateau in the Southern Ocean</t>
  </si>
  <si>
    <t>natural iron fertilization; carbon budget; carbon fluxes</t>
  </si>
  <si>
    <t>DISSOLVED INORGANIC CARBON; NET COMMUNITY PRODUCTION; PRIMARY PRODUCTIVITY; ROSS SEA; CO2; NUTRIENT; EXPORT; TEMPERATURE; SECTOR; FLUXES</t>
  </si>
  <si>
    <t>During the Kerguelen Ocean and Plateau compared Study (KEOPS, January-February 2005), a high-resolution distribution of surface fugacity of carbon dioxide (fCO(2)) was obtained from underway measurements. The stations in the core of the naturally iron-fertilized bloom were characterized by low fCO(2) (311 +/- 8 mu atm) compared to the atmosphere, thus representing a large CO2 sink. This contrasted with stations typical of high-nutrient low-chlorophyll (HNLC) conditions where the surface water was roughly in equilibrium with the atmosphere (fCO(2) = 372 +/- 5 mu atm). The vertical distribution of dissolved inorganic carbon (DIC) also was obtained at stations within and outside the bloom. Based on this data set, we constructed a carbon budget for the mixed layer that allowed us to determine the seasonal net community production (NCPseason) and the seasonal carbon export in two contrasting environments. The robustness of the 2 approach and the errors also were estimated. The NCPseason in the core of the bloom was 6.6 +/- 2.2 mol m(-2), typical of productive areas of the Southern Ocean. At the HNLC station the NCPseason was 3 times lower than in the bloom. Our estimate of the daily net community production (NCPdaily) within the bloom compares well with shipboard measurements of NCP. The NCPdaily obtained above the Kerguelen Plateau was of the same order as the estimates from Southern Ocean artificial iron-fertilization experiments (SOIREE and EisenEx). The seasonal carbon export was derived from NCPseason after subtraction of the seasonal accumulation of particulate and dissolved organic carbon. In the bloom, the carbon export (5.4 +/- 1.9 mol m(-2)) was 3-fold higher than at the HNLC station (1.7 +/- 0.4 mol m(-2)). Comparison of our results to artificial iron-fertilization experiments shows that the biological pump is enhanced by natural iron fertilization. (C) 2008 Elsevier Ltd. All rights reserved.</t>
  </si>
  <si>
    <t>[Jouandet, Marie Paule; Blain, Stephane] Aix Marseille Univ, CNRS, LOB, UMR 6535, F-13288 Marseille 09, France; [Metzl, Nicolas; Brunet, Christian] Univ Paris 06, CNRS, LOCEAN IPSL, UMR 7159, F-75252 Paris 5, France; [Trull, Thomas W.] Univ Tasmania, Antarctic Climate &amp; Ecosyst CRC, CSIRO Marine &amp; Atmospher Res, Hobart, Tas 7001, Australia; [Obernosterer, Ingrid] Univ Paris 06, Lab Arago, F-66650 Banyuls Sur Mer, France; [Obernosterer, Ingrid] CNRS, Lab Oceanog Biol Banyuls, UMR7621, F-66650 Banyuls Sur Mer, France</t>
  </si>
  <si>
    <t>Aix-Marseille Universite; Centre National de la Recherche Scientifique (CNRS); Centre National de la Recherche Scientifique (CNRS); Museum National d'Histoire Naturelle (MNHN); Sorbonne Universite; University of Tasmania; Commonwealth Scientific &amp; Industrial Research Organisation (CSIRO); Sorbonne Universite; Centre National de la Recherche Scientifique (CNRS); CNRS - National Institute for Earth Sciences &amp; Astronomy (INSU); Sorbonne Universite</t>
  </si>
  <si>
    <t>Blain, S (corresponding author), Univ Paris 06, UPMC, CNRS, UMR 7621, BP 44, F-66650 Banyuls Sur Mer, France.</t>
  </si>
  <si>
    <t>marie-paule.jouandet@univmed.fr; stephane.blain@obs-banyuls.fr</t>
  </si>
  <si>
    <t>Trull, Tom W/B-7028-2014; Obernosterer, Ingrid/A-5434-2011; blain, stephane/F-6917-2010</t>
  </si>
  <si>
    <t>Obernosterer, Ingrid/0000-0002-2530-8111; metzl, nicolas/0000-0002-1165-1074; blain, stephane/0000-0002-5234-2446</t>
  </si>
  <si>
    <t>10.1016/j.dsr2.2007.12.037</t>
  </si>
  <si>
    <t>WOS:000256746000021</t>
  </si>
  <si>
    <t>Mongin, M; Molina, E; Trull, TW</t>
  </si>
  <si>
    <t>Mongin, Mathieu; Molina, Ernesto; Trull, Thomas W.</t>
  </si>
  <si>
    <t>Seasonality and scale of the Kerguelen plateau phytoplankton bloom: A remote sensing and modeling analysis of the influence of natural iron fertilization in the Southern Ocean</t>
  </si>
  <si>
    <t>MODIS; chlorophyll; KEOPS; biogeochemical model; carbon export; iron fertilization</t>
  </si>
  <si>
    <t>BIOGEOCHEMISTRY; CIRCULATION; SIMULATION; FATE</t>
  </si>
  <si>
    <t>The phytoplankton bloom that develops over the Kerguelen plateau following natural input of iron is analysed on a regional and seasonal scale. The relation between chlorophyll, bathymetry, and surface advection fields is not as obvious as it first appears from large-scale annual mean field. The high chlorophyll biomass does not always correspond with the shallowest water, and there are portions of the plateau, which persistently exhibit low chlorophyll. Despite this complex dynamic, a one-dimensional model calibrated for HNLC (high-nutrient low-chlorophyll) region is able to capture the observed increase in chlorophyll by increasing the deep iron concentration. The elemental budget shows similarity in terms of carbon, nitrogen, and silicon but differences in terms of iron with the budget calculated during the mission. This discrepancy either has its origin in the structure of the iron cycling in the model or in the temporal scarcity of data that could only be collected during the summer months. in the model, flexibility of the Fe/C ratio associated with high Fe export and input fluxes prevents high carbon sequestration efficiency. This first insight with remote sensing data and the model allows the validation of some of the key mechanisms of natural iron fertilization and exposes problems that will need to be solved to have a complete biogeochemical diagnostic of this natural iron fertilization. (C) 2008 Elsevier Ltd. All rights reserved.</t>
  </si>
  <si>
    <t>[Mongin, Mathieu; Molina, Ernesto; Trull, Thomas W.] Antarctic Climate &amp; Ecosyst CRC, Hobart, Tas 7001, Australia; [Molina, Ernesto; Trull, Thomas W.] Univ Tasmania, Inst Antarctic &amp; So Ocean Studies, Hobart, Tas 7001, Australia; [Trull, Thomas W.] CSIRO Marine &amp; Atmospher Res, Hobart, Tas 7001, Australia</t>
  </si>
  <si>
    <t>University of Tasmania; University of Tasmania; Commonwealth Scientific &amp; Industrial Research Organisation (CSIRO)</t>
  </si>
  <si>
    <t>Mongin, M (corresponding author), Antarctic Climate &amp; Ecosyst CRC, Hobart, Tas 7001, Australia.</t>
  </si>
  <si>
    <t>Mathieu.Mongin@acecrc.org.au</t>
  </si>
  <si>
    <t>Trull, Tom W/B-7028-2014; mongin, mathieu/G-4169-2015</t>
  </si>
  <si>
    <t>mongin, mathieu/0000-0001-9647-0530</t>
  </si>
  <si>
    <t>10.1016/j.dsr2.2007.12.039</t>
  </si>
  <si>
    <t>WOS:000256746000023</t>
  </si>
  <si>
    <t>Belviso, S; Bopp, L; Mosseri, J; Tedetti, M; Garcia, N; Griffiths, B; Joux, F; Obernosterer, I; Uitz, J; Veldhuis, MJW</t>
  </si>
  <si>
    <t>Belviso, Sauveur; Bopp, Laurent; Mosseri, Julie; Tedetti, Marc; Garcia, Nicole; Griffiths, Brian; Joux, Fabien; Obernosterer, Ingrid; Uitz, Julia; Veldhuis, Marcel J. W.</t>
  </si>
  <si>
    <t>Effect of natural iron fertilisation on the distribution of DMS and DMSP in the Indian sector of the Southern Ocean</t>
  </si>
  <si>
    <t>Southern Ocean; Kerguelen Island; dimethylsulphide; DMS; DMSP; iron</t>
  </si>
  <si>
    <t>ATMOSPHERIC SULFUR; DIMETHYL SULFIDE; PHOTOCHEMISTRY; WATERS</t>
  </si>
  <si>
    <t>Understanding the processes controlling the distribution and fate of dimethylsulphide (DMS) in marine surface waters is critical to quantifying the flux of DMS to the atmosphere. All fertilisation experiments in the Southern Ocean trying to mimic a short-term (several weeks) atmospheric, dust-related, iron supply so far have shown that DMS concentrations increase when iron is added artificially in small patches to iron-limited regions. During the Kerguelen Ocean and Plateau compared Study (KEOPS), we have investigated the impact on surface concentrations of DMS and its precursor, particulate dimethylsulphoniopropionate (DMSPp), of iron supplied by mixing from below. We found that the massive summer phytoplanktonic bloom sustained by naturally enhanced vertical mixing of deep iron-rich seawater above the Kerguelen Plateau is not a substantially larger source of DMS than the surrounding low-primary productivity waters. The sustained enrichment of iron over the Kerguelen Plateau does not translate into an increase in DMS concentration because: (1) the nano-phytoplankton, which is the main producer of DMSPp in the area, is not favoured by the continuous supply of iron in surface waters, (2) the transfer efficiency of DMSP to DMS is probably low due to the higher levels of bacterial production measured over the plateau, which, likely, also stimulate the bacterial removal of DMS, and (3) nitrates and fresh chromophoric dissolved organic matter, supplied in surface waters from enhanced mixing of deep water over the plateau, increase the photodegradation rates of DMS. Thus, artificial short-term iron supplies from above and naturally sustained ones show fundamental differences in their impacts on the distribution and net production of DMS. (C) 2008 Elsevier Ltd. All rights reserved.</t>
  </si>
  <si>
    <t>[Belviso, Sauveur; Bopp, Laurent] CEA Saclay, CEA CNRS UVSQ, Lab Sci Climat &amp; Environm, UMR 1572, F-91191 Gif Sur Yvette, France; [Mosseri, Julie; Garcia, Nicole] Ctr Oceanol Marseille, Lab Oceanog &amp; Biochim, CNRS, UMR 6535, F-13288 Marseille 9, France; [Tedetti, Marc] Ctr Oceanol Marseille, Lab Microbiol Geochim Ecol Marines, CNRS, UMR 6117, F-13288 Marseille 9, France; [Griffiths, Brian] CSIRO, Antarctic Climate &amp; Ecosys Cooperat Res Ctr, Hobart, Tas 7001, Australia; [Joux, Fabien; Obernosterer, Ingrid] Univ Paris 06, CNRS, Lab Oceanog Biol Banyuls, UMR 7621, F-66651 Banyuls Sur Mer, France; [Uitz, Julia] Lab Oceanog Villefranche, F-06238 Villefranche Sur Mer, France; [Veldhuis, Marcel J. W.] Royal Netherlands Inst Sea Res, Dept Biol Oceanog, NL-1790 AB Den Burg, Netherlands</t>
  </si>
  <si>
    <t>CEA; Centre National de la Recherche Scientifique (CNRS); Universite Paris Saclay; Centre National de la Recherche Scientifique (CNRS); Centre National de la Recherche Scientifique (CNRS); Commonwealth Scientific &amp; Industrial Research Organisation (CSIRO); Centre National de la Recherche Scientifique (CNRS); CNRS - National Institute for Earth Sciences &amp; Astronomy (INSU); Sorbonne Universite; Sorbonne Universite; Utrecht University; Royal Netherlands Institute for Sea Research (NIOZ)</t>
  </si>
  <si>
    <t>Belviso, S (corresponding author), CEA Saclay, CEA CNRS UVSQ, Lab Sci Climat &amp; Environm, UMR 1572, Bat 701 Lorme Merisiers, F-91191 Gif Sur Yvette, France.</t>
  </si>
  <si>
    <t>sauveur.belviso@lsce.ipsl.fr</t>
  </si>
  <si>
    <t>UITZ, Julia/Q-7487-2018; Tedetti, Marc/V-1412-2019; bopp, laurent/ABF-5302-2020; Tedetti, Marc/J-8100-2016; Obernosterer, Ingrid/A-5434-2011; Uitz, Julia/JTV-4579-2023; Joux, Fabien/F-8107-2010</t>
  </si>
  <si>
    <t>Tedetti, Marc/0000-0003-3212-6890; bopp, laurent/0000-0003-4732-4953; Tedetti, Marc/0000-0003-3212-6890; Obernosterer, Ingrid/0000-0002-2530-8111; Joux, Fabien/0000-0001-8089-2771</t>
  </si>
  <si>
    <t>10.1016/j.dsr2.2007.12.040</t>
  </si>
  <si>
    <t>WOS:000256746000024</t>
  </si>
  <si>
    <t>Bareiss, J; Görgen, K</t>
  </si>
  <si>
    <t>Bareiss, Joerg; Goergen, Klaus</t>
  </si>
  <si>
    <t>ISPOL weather conditions in the context of long-term climate variability in the north-western Weddell Sea</t>
  </si>
  <si>
    <t>climate; sea-ice; variability; ISPOL; Weddell Sea; reanalysis</t>
  </si>
  <si>
    <t>EXTRATROPICAL CYCLONE BEHAVIOR; ANTARCTIC CIRCUMPOLAR WAVE; SOUTHERN-HEMISPHERE; SEMIANNUAL OSCILLATION; SURFACE TEMPERATURES; BOTTOM WATER; ICE EXTENT; ROSS SEA; OCEAN; PENINSULA</t>
  </si>
  <si>
    <t>At the transition from austral spring to summer of 2004/2005, the field experiment Ice Station Polarstern (ISPOL) took place in the north-western Weddell Sea to observe physical and biological atmosphere-sea ice-ocean processes. The objective of this paper is to discuss the meteorological conditions during ISPOL in the context of long-term climate variability mainly in the north-western Weddell Sea region. This is done with a comprehensive climatology focusing on the seasonal and interannual variability of atmospheric and cryospheric data from 1979 to 2005. Key meteorological elements and weather patterns derived from NCEP/DOE Reanalysis 2 results and sea-ice data from passive microwave radiometer satellite observations are analyzed in combination with ISPOL in situ measurements. The monthly mean air temperature and the mean sea-level pressure were above the long-term average. The latter showed a very much extended variability and range associated with more frequent northerly to south-easterly winds. (C) 2008 Elsevier Ltd. All rights reserved.</t>
  </si>
  <si>
    <t>[Bareiss, Joerg] Univ Trier, Dept Environm Meteorol, D-54286 Trier, Germany; [Goergen, Klaus] Ctr Rech Publ Gabriel Lippmann, Grand Duchy Luxembourg, Germany</t>
  </si>
  <si>
    <t>Universitat Trier</t>
  </si>
  <si>
    <t>Bareiss, J (corresponding author), Univ Trier, Dept Environm Meteorol, D-54286 Trier, Germany.</t>
  </si>
  <si>
    <t>bareiss@uni-trier.de</t>
  </si>
  <si>
    <t>Goergen, Klaus/A-4655-2017</t>
  </si>
  <si>
    <t>Goergen, Klaus/0000-0002-4208-3444</t>
  </si>
  <si>
    <t>8-9</t>
  </si>
  <si>
    <t>10.1016/j.dsr2.2007.12.017</t>
  </si>
  <si>
    <t>321KI</t>
  </si>
  <si>
    <t>WOS:000257303200002</t>
  </si>
  <si>
    <t>Steer, A; Worby, A; Heil, P</t>
  </si>
  <si>
    <t>Steer, Adam; Worby, Anthony; Heil, Petra</t>
  </si>
  <si>
    <t>Observed changes in sea-ice floe size distribution during early summer in the western Weddell Sea</t>
  </si>
  <si>
    <t>ice-floe size distribution; digital aerial photography; western Weddell Sea; sea-ice dynamics</t>
  </si>
  <si>
    <t>Digital aerial photographs are used to measure the change in floe size distribution over an area of the western Weddell Sea during the Ice Station Polarstern (ISPOL) program. The results show a significant increase in the number of small floes and brash ice over a 23 day period from 9 December 2004 to 1 January 2005. This is attributed to a net divergence of the pack ice, coupled with ice melt that caused ridges to relax and break into their component parts. The net effect is a significant increase in total floe perimeter that is important for lateral melt and primary production near floe edges. Crown Copyright (C) 2008 Published by Elsevier Ltd. All rights reserved.</t>
  </si>
  <si>
    <t>[Steer, Adam; Worby, Anthony; Heil, Petra] Australian Antarctic Div, Kingston, Tas 7050, Australia; [Steer, Adam] Univ Tasmania, Inst Antarctic &amp; So Ocean Studies, Hobart, Tas 7001, Australia; [Worby, Anthony; Heil, Petra] Univ Tasmania, Antarctic Climate &amp; Ecosystems Cooperat Res Ctr, Hobart, Tas, Australia</t>
  </si>
  <si>
    <t>Australian Antarctic Division; University of Tasmania; University of Tasmania</t>
  </si>
  <si>
    <t>Heil, P (corresponding author), Australian Antarctic Div, 203 Channel Hwy, Kingston, Tas 7050, Australia.</t>
  </si>
  <si>
    <t>petra.heil@utas.edu.au</t>
  </si>
  <si>
    <t>Heil, Petra/0000-0003-2078-0342; Steer, Adam/0000-0003-0046-7236</t>
  </si>
  <si>
    <t>10.1016/j.dsr2.2007.12.016</t>
  </si>
  <si>
    <t>WOS:000257303200003</t>
  </si>
  <si>
    <t>Heil, P; Hutchings, JK; Worby, AP; Johansson, M; Launiainen, J; Haas, C; Hibler, WD</t>
  </si>
  <si>
    <t>Heil, Petra; Hutchings, Jennifer K.; Worby, Anthony P.; Johansson, Milla; Launiainen, Jouko; Haas, Christian; Hibler, William D., III</t>
  </si>
  <si>
    <t>Tidal forcing on sea-ice drift and deformation in the western Weddell Sea in early austral summer, 2004</t>
  </si>
  <si>
    <t>sea-ice motion; sea-ice deformation; high-frequency processes; ocean tides; inertial response; Weddell Sea; Antarctica</t>
  </si>
  <si>
    <t>PACK ICE; MOTION; BUOY; OCEAN; TIDES; FLOW</t>
  </si>
  <si>
    <t>Sea-ice drift and deformation in the western Weddell Sea in early austral summer of 2004 are characterised using in situ data from a meso-scale array of 24 drifting ice buoys. Horizontal GPS-derived position measurements are available from drifting buoys deployed as part of the Ice Station POLarstern [ISPOL] experiment for 26 days during late November and December 2004, at various temporal resolutions and spatial accuracies. These data form the basis for sea-ice velocity and deformation measurements across the meso-scale ISPOL array and at two remote sites. Analysis of the sea-ice velocities reveals coherence for sea-ice drift at separations of less than 70km; and a correlation length scale of 60km. Within the limits of the ISPOL array, at larger separations zonal ice drift remains correlated, while meridional ice drift becomes uncorrelated. This together with the east-west gradient in ice velocities indicates the influence of bathymetry, via tidal forcing, on local dynamic processes. Atmospheric forcing also contributes to the sea-ice drift: about 40% of variability in the sea-ice velocity is explained by changes in wind velocity, which is significantly less than other studies have found for the region during winter. Sea-ice deformation has been derived for the overall array and four sub-arrays. There appeared to be no spatial scale dependency of ice deformation, although considerable spatial variability was observed between sub-arrays. The net divergence of the ISPOL array was in excess of 30%, with the largest contributions to divergence being from the southern section and along the eastern side of the overall ISPOL array. Temporal variability for all deformation parameters is dominated by high-frequency (sub-daily) processes, namely tidal forcing and inertial response. Low-frequency (multiple days) processes, including atmospheric changes, played a secondary role in forcing sea-ice deformation during ISPOL. (C) 2008 Elsevier Ltd. All rights reserved.</t>
  </si>
  <si>
    <t>[Heil, Petra] Univ Tasmania, ACE CRC, Hobart, Tas, Australia; Univ Tasmania, Australian Antarctic Div, Hobart, Tas, Australia; [Hutchings, Jennifer K.; Hibler, William D., III] Univ Alaska, Int Arctic Res Ctr, Fairbanks, AK 99701 USA; [Johansson, Milla; Launiainen, Jouko] Finnish Inst Marine Res, Helsinki, Finland; [Haas, Christian] Alfred Wegener Inst Polar &amp; Marine Res, D-2850 Bremerhaven, Germany</t>
  </si>
  <si>
    <t>University of Tasmania; Antarctic Climate &amp; Ecosystems Cooperative Research Centre (ACE CRC); Australian Antarctic Division; University of Tasmania; University of Alaska System; University of Alaska Fairbanks; Helmholtz Association; Alfred Wegener Institute, Helmholtz Centre for Polar &amp; Marine Research</t>
  </si>
  <si>
    <t>Heil, P (corresponding author), Univ Tasmania, ACE CRC, Hobart, Tas, Australia.</t>
  </si>
  <si>
    <t>Hutchings, Jennifer K/P-6356-2017; Haas, Christian/L-5279-2016; Worby, Anthony P/A-2373-2012</t>
  </si>
  <si>
    <t>Haas, Christian/0000-0002-7674-3500; Heil, Petra/0000-0003-2078-0342; Johansson, Milla/0000-0002-9566-5149</t>
  </si>
  <si>
    <t>10.1016/j.dsr2.2007.12.026</t>
  </si>
  <si>
    <t>Green Published</t>
  </si>
  <si>
    <t>WOS:000257303200004</t>
  </si>
  <si>
    <t>Haas, C; Nicolaus, M; Willmes, S; Worby, A; Flinspach, D</t>
  </si>
  <si>
    <t>Haas, Christian; Nicolaus, Marcel; Willmes, Sascha; Worby, Anthony; Flinspach, David</t>
  </si>
  <si>
    <t>Sea ice and snow thickness and physical properties of an ice floe in the western Weddell Sea and their changes during spring warming</t>
  </si>
  <si>
    <t>Weddell Sea; sea ice and snow thickness; ice-core analysis; electromagnetic (EM) ice thickness profiling; EM and direct current (DC) geoelectric depth sounding; ice conductivity</t>
  </si>
  <si>
    <t>MASS-BALANCE; SUMMER; INVERSION; BRINE; OCEAN</t>
  </si>
  <si>
    <t>Helicopter-borne and ground-based electromagnetic (EM) ice thickness and ruler-stick snow thickness measurements as well as ice-core analyses of ice temperature, salinity and texture were performed over a 5-week observation period between November 27, 2004, and January 2, 2005, on an ice floe in the western Weddell Sea at approximately 67 degrees S, 55 degrees W. The study was part of the Ice Station Polarstern (ISPOL) expedition of German research icebreaker RN. Polarstern, investigating changes of physical, biological, and biogeochemical properties during the spring warming as a function of atmospheric and oceanic boundary conditions. The ice floe was composed of fragments of thin and thick first-year ice and thick second-year ice, with modal total thicknesses of 1.2-1.3, 2.1, and 2.4-2.9m, respectively. This included modal snow thicknesses of 0.2-0.5 m on first-year ice and 0.75 m on second-year ice. During the observation period, snow thickness decreased by less than 0.2 m. There was hardly any ice thinning. Warming of snow and ice between 0.1 and 1.9 degrees C resulted in decreased ice salinity and increased brine volume. Direct current (DC) geoelectric and electromagnetic (EM) induction depth sounding were performed to study changes of electrical ice conductivity as a result of the observed ice warming. Bulk ice conductivity increased from to 37 to 97mS/m. Analysis of conductivity anisotropy showed that the horizontal ice conductivity changed from 9 to 70mS/m. These conductivity changes have only negligible effects on the thickness retrieval from EM measurements. Crown Copyright (C) 2008 Published by Elsevier Ltd. All rights reserved.</t>
  </si>
  <si>
    <t>[Haas, Christian; Nicolaus, Marcel; Flinspach, David] Alfred Wegener Inst Polar &amp; Marine Res, D-27570 Bremerhaven, Germany; [Willmes, Sascha] Univ Trier, Dept Climatol, Trier, Germany; [Worby, Anthony] Australian Antarctic Div, ACE CRC, Hobart, Tas, Australia</t>
  </si>
  <si>
    <t>Helmholtz Association; Alfred Wegener Institute, Helmholtz Centre for Polar &amp; Marine Research; Universitat Trier; Antarctic Climate &amp; Ecosystems Cooperative Research Centre (ACE CRC); Australian Antarctic Division</t>
  </si>
  <si>
    <t>Haas, C (corresponding author), Univ Alberta, Dept Earth &amp; Atmospher Sci, Edmonton, AB, Canada.</t>
  </si>
  <si>
    <t>Christian.Haas@ualberta.ca</t>
  </si>
  <si>
    <t>Willmes, Sascha/J-5796-2012; Worby, Anthony P/A-2373-2012; Haas, Christian/L-5279-2016; Nicolaus, Marcel/A-3658-2013</t>
  </si>
  <si>
    <t>Haas, Christian/0000-0002-7674-3500; Nicolaus, Marcel/0000-0003-0903-1746</t>
  </si>
  <si>
    <t>10.1016/j.dsr2.2007.12.020</t>
  </si>
  <si>
    <t>WOS:000257303200005</t>
  </si>
  <si>
    <t>Tison, JL; Worby, A; Delille, B; Brabant, F; Papadimitriou, S; Thomas, D; de Jong, J; Lannuzel, D; Haas, C</t>
  </si>
  <si>
    <t>Tison, J. -L.; Worby, A.; Delille, B.; Brabant, F.; Papadimitriou, S.; Thomas, D.; de Jong, J.; Lannuzel, D.; Haas, C.</t>
  </si>
  <si>
    <t>Temporal evolution of decaying summer first-year sea ice in the Western Weddell Sea, Antarctica</t>
  </si>
  <si>
    <t>Antarctic; sea ice; Weddell Sea; summer decay; brine network; temporal evolution</t>
  </si>
  <si>
    <t>FLOW-INJECTION ANALYSIS; ISOTOPIC COMPOSITION; SNOW-COVER; SALINITY; ROSS; BELLINGSHAUSEN; DELTA-O-18; AMUNDSEN; RATES; GAS</t>
  </si>
  <si>
    <t>The evolution of the main physico-chemical properties of the unflooded 90-cm-thick first-year sea-ice cover at the Ice Station POLarstern (ISPOL) clean site is described. ISPOL was an international experiment of the German research icebreaker R.V. Polarstern. The vessel was anchored to an ice floe for an observation period of 5 weeks, during the early summer melt onset in the Western Weddell Sea. The clean site was specially designed and accessed so as to prevent any trace metal contamination of the sampling area. Observations were made at 5-day intervals during December 2004 in the central part of the main floe. Results show the succession of two contrasting phases in the behavior of the brine network (brine channels, pockets, and tubes). Initially, brine salinity was higher than that of sea-water, leading to brine migration and a decrease in the mean bulk salinity of the ice cover. This process is highly favored by the already high bulk porosity (14%), which ensures full connectivity of the brine network. Gravity drainage rather than convection seems to be the dominant brine transfer process. Half-way through the observation period, the brine salinity became lower than that of the sea-water throughout the ice column. The brine network therefore switched to a stratified regime in which exchange with sea-water was limited to molecular diffusion, strongly stabilizing the bulk mean sea-ice salinity. During the transition between the two regimes, and in areas closer to ridges, slush water (resulting from a mixture of snow meltwater and sea water accumulated at the snow-ice interface) penetrated through the growing honeycomb-like structure and replaced the downward draining brines. This resulted in a slight local replenishment of nutrients (as indicated by dissolved silicic acid). However, as a whole, the described decaying regime in this globally unflooded location with limited snow cover should be unfavorable to the development of healthy and active surface and internal microbial communities. The switch from gravity to diffusion controlled transport mechanisms within the ice column also should affect the efficiency of gas exchange across the sea-ice cover. The observed late build-up of a continuous, impermeable, superimposed ice layer should further significantly hamper gas exchange. Statistical estimates of the evolution of the ice thickness during the observation period and salinity trends of the under-ice water salinity down to 30m corroborate model predictions of a moderate bottom melting (5-10cm) from ocean heat fluxes. (C) 2008 Elsevier Ltd. All rights reserved.</t>
  </si>
  <si>
    <t>[Tison, J. -L.; de Jong, J.] Univ Libre Bruxelles, DSTE, Brussels, Belgium; [Worby, A.; Lannuzel, D.] Univ Tasmania, ACE CRC, Hobart, Tas, Australia; [Delille, B.] Univ Liege, Unite Oceanog Chim, Liege, Belgium; [Papadimitriou, S.; Thomas, D.] Bangor Univ, Coll Nat Sci, Anglesey, Wales; [Haas, C.] Alfred Wegener Inst Polar &amp; Marine Res, D-2850 Bremerhaven, Germany</t>
  </si>
  <si>
    <t>Universite Libre de Bruxelles; Antarctic Climate &amp; Ecosystems Cooperative Research Centre (ACE CRC); University of Tasmania; University of Liege; Bangor University; Helmholtz Association; Alfred Wegener Institute, Helmholtz Centre for Polar &amp; Marine Research</t>
  </si>
  <si>
    <t>Tison, JL (corresponding author), Univ Libre Bruxelles, DSTE, Brussels, Belgium.</t>
  </si>
  <si>
    <t>jtison@ulb.ae.be</t>
  </si>
  <si>
    <t>Haas, Christian/L-5279-2016; de Jong, Jeroen/F-3190-2011; Thomas, David Neville/B-1448-2010; Worby, Anthony P/A-2373-2012; Delille, Bruno/C-3486-2008; Tison, Jean-Louis/F-4065-2015; lannuzel, delphine/J-7937-2014</t>
  </si>
  <si>
    <t>Haas, Christian/0000-0002-7674-3500; Thomas, David Neville/0000-0001-8832-5907; de Jong, Jeroen/0000-0002-3034-5929; Delille, Bruno/0000-0003-0502-8101; Tison, Jean-Louis/0000-0002-9758-3454; lannuzel, delphine/0000-0001-6154-1837; Papadimitriou, Stathys/0000-0001-8540-1169</t>
  </si>
  <si>
    <t>Natural Environment Research Council [NER/A/S/2003/00340] Funding Source: researchfish</t>
  </si>
  <si>
    <t>10.1016/j.dsr2.2007.12.021</t>
  </si>
  <si>
    <t>WOS:000257303200006</t>
  </si>
  <si>
    <t>Krapp, RH; Berge, J; Flores, H; Gulliksen, B; Werner, I</t>
  </si>
  <si>
    <t>Krapp, Rupert H.; Berge, Jorgen; Flores, Hauke; Gulliksen, Bjorn; Werner, Iris</t>
  </si>
  <si>
    <t>Sympagic occurrence of Eusirid and Lysianassoid amphipods under Antarctic pack ice</t>
  </si>
  <si>
    <t>Antarctic; amphipods; under-ice fauna; sympagic; Weddell Sea; Lazarev Sea</t>
  </si>
  <si>
    <t>SEA-ICE; WEDDELL SEA; PERDENTATUS CHEVREUX; COMMUNITY STRUCTURE; 1912 CRUSTACEA; MCMURDO SOUND; MICRONEKTON; SHELF</t>
  </si>
  <si>
    <t>During three Antarctic expeditions (2004, ANT XXI-4 and XXII-2; 2006, ANT XXIII-6) with the German research icebreaker R/V Polarstern, six different amphipod species were recorded under the pack ice of the Weddell Sea and the Lazarev Sea. These cruises covered Austral autumn (April), summer (December) and winter (August) situations, respectively. Five of the amphipod species recorded here belong to the family Eusiridae (Eusirus antarcticus, E. laticarpus, E. microps, E. perdentatus and E. tridentatus), while the last belongs to the Lysianassidea, genus Cheirimedon (cf. femoratus). Sampling was performed by a specially designed under-ice trawl in the Lazarev Sea, whereas in the Weddell Sea sampling was done by scuba divers and deployment of baited traps. In the Weddell Sea, individuals of E. antarcticus and E. tridentatus were repeatedly observed in situ during under-ice dives, and single individuals were even found in the infiltration layer. Also in aquarium observations, individuals of E. antarcticus and E tridentatus attached themselves readily to sea ice. Feeding experiments on E antarcticus and E. tridentatus indicated a carnivorous diet. Individuals of the Lysianassoid Cheirimedon were only collected in baited traps there. Repeated conventional zooplankton hauls performed in parallel to this study did not record any of these amphipods from the water column. In the Lazarev Sea, E. microps, E. perdentatus and E laticarpus were regularly found in under-ice trawls. We discuss the origin and possible sympagic life style of these amphipods. (C) 2008 Elsevier Ltd. All rights reserved.</t>
  </si>
  <si>
    <t>[Krapp, Rupert H.; Werner, Iris] Univ Kiel, Inst Polar Ecol, D-24148 Kiel, Germany; [Krapp, Rupert H.; Berge, Jorgen; Gulliksen, Bjorn] Univ Ctr Svalbard, N-9171 Longyearbyen, Norway; [Flores, Hauke] IMARES Wageningen, NL-1790 AD Den Burg, Netherlands; [Flores, Hauke] Univ Groningen, Ctr Ecol &amp; Evolutionary Studies, NL-9750 AA Haren, Netherlands; [Gulliksen, Bjorn] Univ Tromso, Norwegian Coll Fishery Sci, N-9037 Tromso, Norway</t>
  </si>
  <si>
    <t>University of Kiel; University Centre Svalbard (UNIS); Wageningen University &amp; Research; University of Groningen; UiT The Arctic University of Tromso</t>
  </si>
  <si>
    <t>Krapp, RH (corresponding author), Univ Kiel, Inst Polar Ecol, Wischhofstr 1-3,Bldg 12, D-24148 Kiel, Germany.</t>
  </si>
  <si>
    <t>rkrapp@ipoe.uni-kiel.de</t>
  </si>
  <si>
    <t>Flores, Hauke/ABD-1888-2020; Berge, Jørgen/B-8749-2008</t>
  </si>
  <si>
    <t>Flores, Hauke/0000-0003-1617-5449; Berge, Jørgen/0000-0003-0900-5679</t>
  </si>
  <si>
    <t>10.1016/j.dsr2.2007.12.018</t>
  </si>
  <si>
    <t>WOS:000257303200009</t>
  </si>
  <si>
    <t>Michels, J; Dieckmann, GS; Thomas, DN; Schnack-Schiel, SB; Krell, A; Assmy, P; Kennedy, H; Papadimitriou, S; Cisewski, B</t>
  </si>
  <si>
    <t>Michels, Jan; Dieckmann, Gerhard S.; Thomas, David N.; Schnack-Schiel, Sigrid B.; Krell, Andreas; Assmy, Philipp; Kennedy, Hilary; Papadimitriou, Stathis; Cisewski, Boris</t>
  </si>
  <si>
    <t>Short-term biogenic particle flux under late spring sea ice in the western Weddell Sea</t>
  </si>
  <si>
    <t>short-term vertical particle flux; sea ice; ice algae; faecal strings; krill; western Weddell Sea; late spring</t>
  </si>
  <si>
    <t>ZOOPLANKTON FECAL PELLETS; ROSS-SEA; SOUTHERN-OCEAN; PARTICULATE MATTER; BRANSFIELD STRAIT; ANTARCTIC KRILL; ORGANIC-MATTER; VERTICAL FLUX; MARINE SNOW; PACK-ICE</t>
  </si>
  <si>
    <t>In the framework of the Ice Station POLarstern (ISPOL) expedition in the western Weddell Sea, two sediment traps were deployed at 10 and 70 in water depth under a drifting ice floe in December 2004. The amount and composition of the vertical particle flux under sea ice were determined during a period of 30 days in order to investigate the influence of biological processes in sea ice and on its underside on the flux. The total mass flux was dominated by diatoms, faecal material, and aggregates, and ranged from 95.28 to 197.67 mg m(-2) d(-1) at 10m, depth and from 51.54 to 55.34 mg m(-2) d(-1) at 70m depth. A strong increase with time of the flux of chlorophyll equivalents, biogenic silica, and faecal material was recorded during the observation period, coincident with the increase in the concentration of chlorophyll a in the bottom ice layer above the trap array. The latter suggests a concomitant increase in the amount of food available for grazers, such as krill, in the bottom ice layer and on the underside of the ice floe, resulting in an increased downward transport of ice-algal material into the water column. The sinking faecal material was dominated by krill faecal strings and contained large amounts of diatom frustule debris, as well as intact diatom frustules, mainly of the species Fragilariopsis curta and E cylindrus. Single pronounced flux events of Phaeocystis antarctica and aggregates were also observed early in the study period. Low POC/PON and biogenic silica/POC ratios of the sinking particulate matter suggest that the material collected in the traps was relatively fresh. (C) 2008 Elsevier Ltd. All rights reserved.</t>
  </si>
  <si>
    <t>[Michels, Jan; Dieckmann, Gerhard S.; Schnack-Schiel, Sigrid B.; Krell, Andreas; Assmy, Philipp; Cisewski, Boris] Alfred Wegener Inst Polar &amp; Marine Res, D-27515 Bremerhaven, Germany; [Thomas, David N.; Kennedy, Hilary; Papadimitriou, Stathis] Bangor Univ, Coll Nat Sci, Anglesey, Wales; [Cisewski, Boris] Univ Bremen, Inst Umweltphys, Bremen, Germany</t>
  </si>
  <si>
    <t>Helmholtz Association; Alfred Wegener Institute, Helmholtz Centre for Polar &amp; Marine Research; Bangor University; University of Bremen</t>
  </si>
  <si>
    <t>Michels, J (corresponding author), Alfred Wegener Inst Polar &amp; Marine Res, POB 120161, D-27515 Bremerhaven, Germany.</t>
  </si>
  <si>
    <t>Jan.Michels@awi.de</t>
  </si>
  <si>
    <t>Michels, Jan/B-1023-2014; Dieckmann, Gerhard S/B-4307-2010; Cisewski, Boris/GWV-4320-2022; Thomas, David Neville/B-1448-2010; Kennedy, Hilary A/M-5574-2014</t>
  </si>
  <si>
    <t>Cisewski, Boris/0000-0002-1130-6107; Thomas, David Neville/0000-0001-8832-5907; Kennedy, Hilary A/0000-0003-2290-2120; Papadimitriou, Stathys/0000-0001-8540-1169</t>
  </si>
  <si>
    <t>10.1016/j.dsr2.2007.12.019</t>
  </si>
  <si>
    <t>WOS:000257303200010</t>
  </si>
  <si>
    <t>Schnack-Schiel, SB; Michels, J; Mizdalski, E; Schodlok, MP; Schröder, M</t>
  </si>
  <si>
    <t>Schnack-Schiel, Sigrid B.; Michels, Jan; Mizdalski, Elke; Schodlok, Michael P.; Schroeder, Michael</t>
  </si>
  <si>
    <t>Composition and community structure of zooplankton in the sea ice-covered western Weddell Sea in spring 2004 -: with emphasis on calanoid copepods</t>
  </si>
  <si>
    <t>ice-covered western Weddell Sea; zooplankton; calanoid copepods; species composition; abundance; vertical distribution</t>
  </si>
  <si>
    <t>LIFE-CYCLE STRATEGIES; SCOTIA SEA; SOUTH GEORGIA; POPULATION-STRUCTURE; ANTARCTIC COPEPODS; RHINCALANUS-GIGAS; SEASONAL-VARIATIONS; VERTICAL MIGRATION; ACUTUS COPEPODA; AUSTRAL SUMMER</t>
  </si>
  <si>
    <t>The mesozooplankton community.. with special emphasis on calanoid copepods, was studied with respect to its species composition, abundance, vertical distribution and developmental structure during the Ice Station POLarstern (ISPOL) expedition to the ice-covered western Weddell Sea. Stratified zooplankton tows were carried out nine times between I December 2004 and 2 January 2005 with a multiple opening-closing net between 0 and 1000 in depth. Copepods were by far the most abundant taxon, contributing more than 94% of the total mesozooplankton. Numerical dominants were cyclopoid copepods, mostly Oncaea spp. A total of 66 calanoid copepod species were identified, but the calanoid copepod community was characterised by the dominance of only a few species. The most numerous species was Microcalanus pygmaeus, which comprised on average 70% of all calanoids. Calanoides acutus and Metridia gerlachei represented other abundant calanoid species contributing an average of 8% and 7%, respectively. All other species comprised less than 3%. The temporal changes in the abundance and population structure of M. pygmaeus and M. gerlachei were small while a shift in the stage frequency distribution of C acutus was observed during the study: copepodite stage IV (C IV) dominated the C acutus population with 48-50% during the first week of December, while C V comprised 48% in late December. C I and C II of C acutus were absent in the samples, and males occurred only in very low numbers in greater depths. In M. gerlachei, C I was not found, whereas all developmental stages of M. pygmaeus occurred throughout the study. All three species showed migratory behaviour, and they occurred in upper water layers towards the end of the investigation. This vertical ascent was most pronounced in C acutus and relatively weak in the other two species. In M. pygmaeus and M. gerlachei, copepodids were responsible for the upward migration in late December, while the vertical distribution of adults did not change. In C acutus, all abundant developmental stages (C IV, C V and females) ascended to upper water layers. Almost exclusively (93%) medium- and semi-ripe females of C acutus and M. gerlachei were found, and only 3-4% of the ovaries were ripe. The absence of C I and the low number of ripe females indicate that the main reproductive period had not started in C acutus and M. gerlachei until the end of our study in early January. In contrast, the high portion of C I and C II of M. pygmaeus suggests that reproduction of this species had started in October-November and hence before the onset of the phytoplankton bloom in the water. The community structure did not differ between stations with one exception on 26 December, when the station was strongly influenced by the continental shelf. (C) 2008 Elsevier Ltd. All rights reserved.</t>
  </si>
  <si>
    <t>[Schnack-Schiel, Sigrid B.; Michels, Jan; Mizdalski, Elke; Schodlok, Michael P.; Schroeder, Michael] Alfred Wegener Inst Polar &amp; Marine Res, D-27515 Bremerhaven, Germany</t>
  </si>
  <si>
    <t>Schnack-Schiel, SB (corresponding author), Alfred Wegener Inst Polar &amp; Marine Res, D-27515 Bremerhaven, Germany.</t>
  </si>
  <si>
    <t>Sigrid.Schiel@awi.de</t>
  </si>
  <si>
    <t>Michels, Jan/B-1023-2014</t>
  </si>
  <si>
    <t>10.1016/j.dsr2.2007.12.013</t>
  </si>
  <si>
    <t>WOS:000257303200011</t>
  </si>
  <si>
    <t>Flores, H; Haas, C; van Franeker, JA; Meesters, E</t>
  </si>
  <si>
    <t>Flores, Hauke; Haas, Christian; van Franeker, Jan Andries; Meesters, Erik</t>
  </si>
  <si>
    <t>Density of pack-ice seals and penguins in the western Weddell Sea in relation to ice thickness and ocean depth</t>
  </si>
  <si>
    <t>aerial surveys; Antarctic seals; distribution; Lobodon carcinophaga; penguins; sea ice; Weddell Sea; 66 degrees S 58 degrees W/69 degrees S 38 degrees W</t>
  </si>
  <si>
    <t>CRAB-EATER SEALS; SEASONAL-CHANGE; CIRCULATION; ANTARCTICA; ABUNDANCE; INDICATORS; SEABIRDS; PATTERNS; BEHAVIOR; FEATURES</t>
  </si>
  <si>
    <t>Aerial band transect censuses were carried out parallel with ice thickness profiling surveys in the pack ice of the western Weddell Sea during the ISPOL (Ice Station POLarstern) expedition of R.V. Polarstern from November 2004 to January 2005. Three regions were surveyed: the deep sea of the Weddell Sea, a western continental shelf/slope region where R.V. Polarstern passively drifted with an ice floe (ISPOL), and a northern region (N). Animal densities were compared among regions and in relation to bathymetry and ice thickness distribution. Crabeater seals Lobodon carcinophaga were the most abundant species in all three regions. Their density was significantly lower in the deep sea (0.50 km(-2)) than in the ISPOL (1.00 km(-2)) and northern regions (1.21 km(-2)). Weddell seals Leptonychotes weddellii were not sighted in the deep-sea region, their density elsewhere ranging from 0.03 (N) to 0.08 km(-2) (ISPOL). Leopard seals Hydrurga leptonyx were observed in all three areas, but could only be quantified in the deep-sea (0.05 km(-2)) and northern regions (0.06 km(-2)). The abundance of emperor penguins Aptenodytes forsteri was markedly higher in the northern (0.75 km(-2)) than in the ISPOL (0.13 km(-2)) and the deep-sea region (not quantified). Crabeater seal density was significantly related to ocean depth and modal ice thickness. (C) 2008 Elsevier Ltd. All rights reserved.</t>
  </si>
  <si>
    <t>[Flores, Hauke; van Franeker, Jan Andries; Meesters, Erik] Wageningen IMARES, NL-1790 AD Den Burg, Netherlands; [Haas, Christian] Alfred Wegener Inst Polar &amp; Marine Res, D-2850 Bremerhaven, Germany</t>
  </si>
  <si>
    <t>Wageningen University &amp; Research; Helmholtz Association; Alfred Wegener Institute, Helmholtz Centre for Polar &amp; Marine Research</t>
  </si>
  <si>
    <t>Flores, H (corresponding author), Wageningen IMARES, POB 167, NL-1790 AD Den Burg, Netherlands.</t>
  </si>
  <si>
    <t>hauke.flores@wur.ni</t>
  </si>
  <si>
    <t>Flores, Hauke/ABD-1888-2020; Haas, Christian/L-5279-2016</t>
  </si>
  <si>
    <t>Flores, Hauke/0000-0003-1617-5449; Haas, Christian/0000-0002-7674-3500; Meesters, Erik/0000-0002-3877-1164</t>
  </si>
  <si>
    <t>10.1016/j.dsr2.2007.12.024</t>
  </si>
  <si>
    <t>WOS:000257303200013</t>
  </si>
  <si>
    <t>Huhn, O; Hellmer, HH; Rhein, M; Rodehacke, C; Roether, WG; Schodlok, MP; Schröder, M</t>
  </si>
  <si>
    <t>Huhn, Oliver; Hellmer, Hartmut H.; Rhein, Monika; Rodehacke, Christian; Roether, Wolfgang; Schodlok, Michael P.; Schroeder, Michael</t>
  </si>
  <si>
    <t>Evidence of deep- and bottom-water formation in the western Weddell Sea</t>
  </si>
  <si>
    <t>Weddell Sea; Larsen Ice Shelf; Weddell Sea Bottom Water (WSBW) formation; Ice Shelf Water (ISW); glacial melt water; CFC tracer</t>
  </si>
  <si>
    <t>RONNE ICE SHELF; OPTIMUM MULTIPARAMETER ANALYSIS; CARBON-TETRACHLORIDE; STATION WEDDELL; PACIFIC WATERS; HELIUM; OCEAN; MASS; ATLANTIC; TRACER</t>
  </si>
  <si>
    <t>During Ice Station POLarstern (ISPOL; R.V. Polarstern cruise ANT XXII/2, November 2004-January 2005). hydrographic and tracer observations were obtained in the western Weddell Sea while drifting closely in front of the Larsen Ice Shelf. These observations indicate recently formed Weddell Sea Bottom Water, which contains significant contributions of glacial melt water in its upper part, and High-Salinity Shelf Water in its lower layer. The formation of this bottom water cannot be related to the known sources in the south, the Filchner-Ronne Ice Shelf. We show that this bottom water is formed in the western Weddell Sea, most likely in interaction with the Larsen C Ice Shelf. By applying an Optimum Multiparameter Analysis (OMP) using temperature, salinity, and noble gas observations (helium isotopes and neon), we obtained mean glacial melt-water fractions of about 0.1 % in the bottom water. On sections across the Weddell Gyre farther north, melt-water fractions are still on the order of 0.04%. Using chlorofluorocarbons (CFCs) as age tracers, we deduced a mean transit time between the western source and the bottom water found on the slope toward the north (9+/-3 years). This transit time is larger and the inferred transport rate is small in comparison to previous findings. But accounting for a loss of the initially formed bottom water volume due to mixing and renewal of Weddell Sea Deep Water, a formation rate of 1.1+/-0.5 Sv in the western Weddell Sea is plausible. This implies a basal melt rate of 35 +/- 19 Gt/year or 0.35 +/- 0.19 m/year at the Larsen Ice Shelf. This bottom water is shallow enough that it could leave the Weddell Basin through the gaps in the South Scotia Ridge to supply Antarctic Bottom Water. These findings emphasize the role of the western Weddell Sea in deep- and bottom-water formation, particularly in view of changing environmental conditions due to climate variability, which might induce enhanced melting or even decay of ice shelves. (C) 2008 Elsevier Ltd. All rights reserved.</t>
  </si>
  <si>
    <t>[Huhn, Oliver; Rhein, Monika; Rodehacke, Christian; Roether, Wolfgang] Univ Bremen, Inst Umweltphys, Abt Ozeanog, D-28359 Bremen, Germany; [Hellmer, Hartmut H.; Schodlok, Michael P.; Schroeder, Michael] Alfred Wegener Inst Polar &amp; Marine Res, D-2850 Bremerhaven, Germany</t>
  </si>
  <si>
    <t>University of Bremen; Helmholtz Association; Alfred Wegener Institute, Helmholtz Centre for Polar &amp; Marine Research</t>
  </si>
  <si>
    <t>Huhn, O (corresponding author), Univ Bremen, Inst Umweltphys, Abt Ozeanog, D-28359 Bremen, Germany.</t>
  </si>
  <si>
    <t>ohuhn@physik.uni-bremen.de</t>
  </si>
  <si>
    <t>; Rhein, Monika/P-1969-2016</t>
  </si>
  <si>
    <t>Hellmer, Hartmut/0000-0002-9357-9853; Rhein, Monika/0000-0003-1496-2828; Rodehacke, Christian/0000-0003-3110-3857; Huhn, Oliver/0000-0003-3626-9135</t>
  </si>
  <si>
    <t>10.1016/j.dsr2.2007.12.015</t>
  </si>
  <si>
    <t>WOS:000257303200015</t>
  </si>
  <si>
    <t>Absy, JM; Schröder, M; Muench, R; Hellmer, HH</t>
  </si>
  <si>
    <t>Absy, J. M.; Schroeder, M.; Muench, R.; Hellmer, H. H.</t>
  </si>
  <si>
    <t>Early summer thermohaline characteristics and mixing in the western Weddell Sea</t>
  </si>
  <si>
    <t>Antarctica; western Weddell Sea; deep and bottom water; thermohaline structure; diapycnal mixing; ISPOL</t>
  </si>
  <si>
    <t>ANTARCTIC PENINSULA; BOTTOM WATER; VARIABILITY; TRANSPORT; OCEAN; CIRCULATION; OVERTURNS; ORIGIN; DEEP; FLOW</t>
  </si>
  <si>
    <t>The Ice Station POLarstern (ISPOL) cruise revisited the western Weddell Sea in late 2004 and obtained a comprehensive set of conductivity-temperature-depth (CTD) data. This study describes the thermohaline structure and diapycnal mixing environment observed in 2004 and compares them with conditions observed more than a decade earlier. Hydrographic conditions on the central western Weddell Sea continental slope, off Larsen C Ice Shelf, in late winter/early spring of 2004/2005 can be described as a well-stratified environment with upper layers evidencing relief structures from intense winter near-surface vertical fluxes, an intermediate depth temperature maximum, and a cold near-bottom layer marked by patchy property distributions. A well-developed surface mixed layer, isolated from the underlying Warm Deep Water (WDW) by a pronounced pycnocline and characterized by lack of warming and by minimal sea-ice basal melting, supports the assumption that upper ocean winter conditions persisted during most of the ISPOL experiment. Much of the western Weddell Sea water column has remained essentially unchanged since 1992; however, significant differences were observed in two of the regional water masses. The first, Modified Weddell Deep Water (MWDW), comprises the permanent pycnocline and was less saline than a decade earlier, whereas Weddell Sea Bottom Water (WSBW) was horizontally patchier and colder. Near-bottom temperatures observed in 2004 were the coldest on record for the western Weddell Sea over the continental slope. Minimum temperatures were similar to 0.4 and similar to 0.3 degrees C colder than during 1992-1993, respectively. The 2004 near-bottom temperature/salinity characteristics revealed the presence of two different WSBW types, whereby a warm, fresh layer overlays a colder, saltier layer (both formed in the western Weddell Sea). The deeper layer may have formed locally as high salinity shelf water (HSSW) that flowed intermittently down the continental slope, which is consistent with the observed horizontal patchiness. The latter can be associated with the near-bottom variability found in Powell Basin with consequences for the deep water outflow from the Weddell Sea. (C) 2008 Elsevier Ltd. All rights reserved.</t>
  </si>
  <si>
    <t>[Absy, J. M.; Schroeder, M.; Hellmer, H. H.] Alfred Wegener Inst Polar &amp; Marine Res, D-27515 Bremerhaven, Germany; [Muench, R.] Ctr Res Earth &amp; Space Sci, Seattle, WA 98102 USA</t>
  </si>
  <si>
    <t>Absy, JM (corresponding author), Alfred Wegener Inst Polar &amp; Marine Res, POB 120161, D-27515 Bremerhaven, Germany.</t>
  </si>
  <si>
    <t>joao.marcelo.absy@awi.de</t>
  </si>
  <si>
    <t>Hellmer, Hartmut/0000-0002-9357-9853</t>
  </si>
  <si>
    <t>10.1016/j.dsr2.2007.12.023</t>
  </si>
  <si>
    <t>WOS:000257303200016</t>
  </si>
  <si>
    <t>Bitner, MA; Cohen, BL; Long, SL; de Forges, BR; Saito, M</t>
  </si>
  <si>
    <t>Bitner, Maria Aleksandra; Cohen, Bernard L.; Long, Sarah. L.; de Forges, Bertrand Richer; Saito, Michiko</t>
  </si>
  <si>
    <t>Gyrothyris williamsi sp nov and winter-relationships of some taxa from waters around New Zealand and the southern oceans (Rhynchonelliformea: Terebratelloidea)</t>
  </si>
  <si>
    <t>EARTH AND ENVIRONMENTAL SCIENCE TRANSACTIONS OF THE ROYAL SOCIETY OF EDINBURGH</t>
  </si>
  <si>
    <t>DNA sequence; geographical distribution; Gyrothyris; molecular systematics; morphological systematics; rDNA; Terebratella</t>
  </si>
  <si>
    <t>MOLECULAR EVIDENCE; GENE-SEQUENCES; BRACHIOPODS; POPULATIONS; PHYLOGENY; PHORONIDS; PACIFIC; FAUNA; MODEL</t>
  </si>
  <si>
    <t>This paper describes a terebratelloid articulate brachiopod, Gyrothyris williamsi sp. nov., based on 95 specimens from seamounts on the Lord Howe Rise, Coral Sea, SW Pacific Ocean. The new species is attributed to Gyrothyris on the basis of (a) morphological and growth trajectory similarities; (b) phylogenetic analyses of an alignment of DNA sequence (similar to 2900-sites) obtained from nuclear-encoded small- and large-subunit ribosomal RNA genes (SSU and LSO; and (c) the presence of a distinctive, two-part deletion in the LSU gene. It is distinguished morphologically from Gyrothyris mawsoni and its subspecies by both internal and external morphology and by its isolated geographical distribution, which extends the patchy, known range of this genus to an area some 2000 km north of its previous northern limit around New Zealand. Phylogenetic analyses of the rDNAs and of mitochondrial cox1 gene sequences (663 sites) confirm previous indications that the New Zealand endemic terebratelloid genera form a clade (Neothyris (Calloria, Gyrothyris, Terebratella), but the position of Terebratella with respect to Calloria and Gyrothyris remains weakly established. These sequences disagree inexplicably about the closeness of the relationship between Neothyris parva and N. lenticidaris. Analyses of the first sequences from Calloria variegata, a species restricted to the Hauraki Gulf, New Zealand, are consistent with the possibility that it originated locally, and recently, from C inconspicua. Magellania venosa from S. America/Falklands joins with Antarctic Magellaninia fragilis and M. joubini to form an rDNA clade that excludes Terebratalia as the putative sister-group of the New Zealand terebratelloid clade. The cox1(but not the rDNA) sequences of the New Zealand clade pass a test for clock-like rates of evolution, and maximum likelihood pairwise distances suggest that if genetic isolation between the ancestor of Antarctic Magellania and the last common ancestor of the New Zealand terebratelloid clade was initiated by separation of the Antarctic and New Zealand plates similar to 90 Mya, isolation from M. venosa was initiated earlier, perhaps similar to 145 Mya. However, in the simple phylogenctic reconstruction presented here from cox1 sequences, S. American and Antarctic Magellania spp. do not yield a well-supported clade, perhaps because of differences in base composition.</t>
  </si>
  <si>
    <t>[Bitner, Maria Aleksandra] Polish Acad Sci, Inst Paleobiol, PL-00818 Warsaw, Poland; [Cohen, Bernard L.] Univ Glasgow, IBLS Div Mol Genet, Glasgow G11 6NU, Lanark, Scotland; [Long, Sarah. L.] Nat Hist Museum, Dept Palaeontol, London SW7 5BD, England; [de Forges, Bertrand Richer] Ctr Noumea, IRD, Noumea, New Caledonia; [Saito, Michiko] Chiba Univ, Marine Biosyst Res Ctr, Chiba 2638522, Japan</t>
  </si>
  <si>
    <t>Polish Academy of Sciences; Institute of Paleobiology of the Polish Academy of Sciences; University of Glasgow; Natural History Museum London; Institut de Recherche pour le Developpement (IRD); Chiba University</t>
  </si>
  <si>
    <t>Bitner, MA (corresponding author), Polish Acad Sci, Inst Paleobiol, Ul Twarda 51-55, PL-00818 Warsaw, Poland.</t>
  </si>
  <si>
    <t>bitner@twarda.pan.pl; b.l.cohen@bio.ela.ac.uk; sll@nhm.ac.uk; richer@ird.noumea.nc; michiko_saito2001@yahoo.co.jp</t>
  </si>
  <si>
    <t>Cohen, Bernard/ABC-3430-2020; Long, Sarah/JNR-9431-2023; Bitner, Maria/ABF-5623-2020</t>
  </si>
  <si>
    <t>Bitner, Maria/0000-0002-2864-2967</t>
  </si>
  <si>
    <t>RSE-Polish Academy of Sciences International Exchange Programme</t>
  </si>
  <si>
    <t>MAB is grateful to the Royal Society of Edinburgh for exceptional Support Under he RSE-Polish Academy of Sciences International Exchange Programme, 2005. A test version of PAUP* was kindly made available by J. Wilgenbusch, University Of South Florida. We are grateful to Daphne E. Lee, University of Otago, for shell measurements, and to Judy Peterson and Roger Deacon, Southern Aqualung Divers, Invercargill. who collected the Measured specimens of Terebratella sanguinea from George Sound. Thanks are due to Alison Gilchrist and Peter Rhodes, Department Of colour and Poly-mer Chemistry, University of Leeds. for determining the colour of it specimen of Gyrothyris williamsi in terms of internationally accepted standards. Carsten Luter and Kazuyoshi Endo provided helpful reviews.</t>
  </si>
  <si>
    <t>1755-6910</t>
  </si>
  <si>
    <t>1755-6929</t>
  </si>
  <si>
    <t>EARTH ENV SCI T R SO</t>
  </si>
  <si>
    <t>Earth Environ. Sci. Trans. R. Soc. Edinb.</t>
  </si>
  <si>
    <t>10.1017/S1755691008075142</t>
  </si>
  <si>
    <t>Geosciences, Multidisciplinary; Paleontology</t>
  </si>
  <si>
    <t>Geology; Paleontology</t>
  </si>
  <si>
    <t>346CO</t>
  </si>
  <si>
    <t>WOS:000259046200021</t>
  </si>
  <si>
    <t>Peck, LS</t>
  </si>
  <si>
    <t>Peck, Lloyd S.</t>
  </si>
  <si>
    <t>Brachlopods and climate change</t>
  </si>
  <si>
    <t>adaptation; aerobic scope; articulated brachiopods; growth; life history; metabolism; migration; survival</t>
  </si>
  <si>
    <t>MARINE BENTHIC INVERTEBRATES; THERMAL TOLERANCE; METABOLIC-RATE; TEMPERATURE; BRACHIOPODS; LARVAL; DISPERSAL; PATTERNS; FISH; SIZE</t>
  </si>
  <si>
    <t>Animals can respond in three main ways to environments that change and deteriorate. They can cope with their inherent physiological flexibility, evolve or adapt to new conditions, or migrate away to areas consistent with survival. The main factors dictating survival are the rates of change and capacities of species to cope. Articulated brachiopods are known as a group that employ low, energy Solutions and exhibit slow rates in life histories characters, especially in growth and metabolic rates. This way of life carries with it a range of consequences, including poor abilities to raise metabolic rates to perform work. This brings with it poor abilities to cope with elevated temperature. Slow growth, deferred maturity and low feeding rates make them less likely to produce novel adaptations compared with other marine invertebrate taxa. Being largely restricted to hard substrata and low energy supply environments also makes it harder for them to migrate to new sites compared to other groups, because of the large geographic distances between colonisable areas. The only clear area they may have that gives them advantages is in the flexibility of their larval release strategies, where settlement can be from very short, millimetre-scale distances to hundreds of kilometres.</t>
  </si>
  <si>
    <t>British Antarctic Survey, Nat Environm Res Council, Cambridge CB3 0ET, England</t>
  </si>
  <si>
    <t>Peck, LS (corresponding author), British Antarctic Survey, Nat Environm Res Council, High Cross,Madingley Rd, Cambridge CB3 0ET, England.</t>
  </si>
  <si>
    <t>Natural Environment Research Council [bas010015, dml011000] Funding Source: researchfish; NERC [bas010015, dml011000] Funding Source: UKRI</t>
  </si>
  <si>
    <t>10.1017/S1755691007079819</t>
  </si>
  <si>
    <t>WOS:000259046200024</t>
  </si>
  <si>
    <t>Wu, AS; Xiong, XX; Cao, CY; Angal, A</t>
  </si>
  <si>
    <t>Butler, JJ</t>
  </si>
  <si>
    <t>Wu, Aisheng; Xiong, Xiaoxiong; Cao, Changyong; Angal, Amit</t>
  </si>
  <si>
    <t>Monitoring MODIS calibration stability of visible and near-IR bands from observed top-of-atmosphere BRDF-normalized reflectances over Libyan Desert and Antarctic surfaces</t>
  </si>
  <si>
    <t>EARTH OBSERVING SYSTEMS XIII</t>
  </si>
  <si>
    <t>Conference on Earth Observing Systems XIII</t>
  </si>
  <si>
    <t>AUG 11-13, 2008</t>
  </si>
  <si>
    <t>San Diego, CA</t>
  </si>
  <si>
    <t>MODIS; reflectance; top-of-atmosphere; BRDF; calibration</t>
  </si>
  <si>
    <t>HIGH-RESOLUTION RADIOMETER; BIDIRECTIONAL REFLECTANCE; ALBEDO</t>
  </si>
  <si>
    <t>MODIS is one of the major instruments for the National Aeronautics and Space Administration (NASA) Earth Observing System (EOS) missions. It is on-board both the EOS Terra and Aqua spacecrafts, launched in December 1999 and May 2002, respectively. Each MODIS provides spectral. observations in multiple angular views of reflectance at the top of atmosphere (TOA) around the globe. This study focuses on one visible (0.65 mu m) band and one near-IR (0.84 mu m) band to examine the variations of observed TOA reflectances due to the impact of the bi-directional reflectance distribution function (BRDF). Two highly uniform ground sites in the Libyan Desert and Antarctica are selected. The variation of reflectance as a function of view zenith angle at a fixed solar zenith angle is studied based on reflectances obtained from multiple granules over passing each site. The variation of reflectance as a function of solar zenith angle at a fixed view zenith angle is studied based on reflectances collected from 16-day repeatable orbits, which have the same view geometry relative to each site. Results show that variations of the near nadir reflectances at the desert site are close to the Lambertian pattern while those at the Dome C. site arc strongly anisotropic. Comparison of a simple Lambertian and a BRDF correction is made in terms of their effectiveness in removing reflectance trending variations. The BRDF correction is based on a semi-empirical model consisting of two kernel-driven components. Results show that both corrections are able to significantly remove trending variations at the desert site, which produce a remarkably low variability of less than 2% relative to the linear fit. The normalized reflectance trends show that from year 2000 to 2007, the visible and near-IR bands dropped only 1.7 and 1.2% in total, respectively.</t>
  </si>
  <si>
    <t>[Wu, Aisheng; Angal, Amit] Sci Syst &amp; Applicat Inc, 10210 Greenbelt Rd, Lanham, MD 20706 USA; [Xiong, Xiaoxiong] NASA, Sci &amp; Explorat Directorate, GSFC, Greenbelt, MD 20771 USA; [Cao, Changyong] NOAA, NESDIS, Off Res &amp; Applicat, Camp Springs, MD 20746 USA</t>
  </si>
  <si>
    <t>Science Systems and Applications Inc; National Aeronautics &amp; Space Administration (NASA); NASA Goddard Space Flight Center; National Oceanic Atmospheric Admin (NOAA) - USA</t>
  </si>
  <si>
    <t>Wu, AS (corresponding author), Sci Syst &amp; Applicat Inc, 10210 Greenbelt Rd, Lanham, MD 20706 USA.</t>
  </si>
  <si>
    <t>Xiong, Xiaoxiong (Jack)/J-9869-2012; Cao, Changyong/AAP-7605-2021</t>
  </si>
  <si>
    <t>Cao, Changyong/0000-0003-3572-6525</t>
  </si>
  <si>
    <t>978-0-8194-7301-1</t>
  </si>
  <si>
    <t>10.1117/12.795296</t>
  </si>
  <si>
    <t>Instruments &amp; Instrumentation; Remote Sensing; Optics</t>
  </si>
  <si>
    <t>BIQ51</t>
  </si>
  <si>
    <t>WOS:000262056800031</t>
  </si>
  <si>
    <t>Arai, T; Takeda, H; Yamaguchi, A; Ohtake, M</t>
  </si>
  <si>
    <t>Arai, Tomoko; Takeda, Hiroshi; Yamaguchi, Akira; Ohtake, Makiko</t>
  </si>
  <si>
    <t>A new model of lunar crust: asymmetry in crustal composition and evolution</t>
  </si>
  <si>
    <t>EARTH PLANETS AND SPACE</t>
  </si>
  <si>
    <t>1st SELENE Working Team Meeting</t>
  </si>
  <si>
    <t>JAN 09-11, 2007</t>
  </si>
  <si>
    <t>Tsukuba Space Ctr, Tsukuba, JAPAN</t>
  </si>
  <si>
    <t>Tsukuba Space Ctr</t>
  </si>
  <si>
    <t>Moon; crustal evolution; asymmetry; lunar meteorites; KAGUYA</t>
  </si>
  <si>
    <t>FERROAN ANORTHOSITES; SURFACE; MOON; ORIGIN; ROCK; METEORITES; HIGHLANDS; MANTLE; BASIN; FEO</t>
  </si>
  <si>
    <t>Earlier models of lunar crustal formation as a simple flotation of ferroan anorthosites (FAN) do not account for the diverse crustal composition revealed by feldspathic lunar meteorites and granulites in the Apollo samples. Based on the integrated results of recent studies of lunar meteorites and global chemical and mineralogical maps, we propose a novel asymmetric crust model with a ferroan, noritic, nearside crust and a magnesian, troctolitic farside crust. Asymmetric crystallization of a primordial magma ocean can be one possibility to produce a crust with an asymmetric composition. A post-magma-ocean origin for a portion of the lunar crust is also possible and would account for the positive epsilon(Nd) value for FAN and phase equilibria. The formation of giant basins, such as the South Pole-Aitken (SPA) basin may have significant effects on resurfacing of the early lunar crust. Thus, the observed surface composition of the feldspathic highland terrane (FHT) represents the combined results of magma ocean crystallization, post-magma-ocean magmatism and resurfacing by basin formation. The Mg/(Mg+Fe) ratios, rock types, and mineral compositions of the FHT and the South Pole-Aitken basin Terrane (SPAT) obtained from the KAGUYA mission, coupled with further mineralogical and isotopic studies of lunar meteorites, will facilitate an assessment of the feasibility of the proposed crust model and improve understanding of lunar crustal genesis and evolution.</t>
  </si>
  <si>
    <t>[Arai, Tomoko; Yamaguchi, Akira] Natl Inst Polar Res, Antarctic Meteorite Res Ctr, Tokyo 1738515, Japan; [Takeda, Hiroshi] Univ Tokyo, Dept Earth &amp; Planetary Sci, Tokyo 1130033, Japan; [Yamaguchi, Akira] Grad Univ Adv Studies, Dept Polar Sci, Tokyo 1738515, Japan; [Ohtake, Makiko] Japan Aerosp Explorat Agcy, Inst Space &amp; Astronaut Sci, Dept Planetary Sci, Sagamihara, Kanagawa 2298510, Japan</t>
  </si>
  <si>
    <t>Research Organization of Information &amp; Systems (ROIS); National Institute of Polar Research (NIPR) - Japan; University of Tokyo; Graduate University for Advanced Studies - Japan; Japan Aerospace Exploration Agency (JAXA); Institute of Space &amp; Astronautical Science (ISAS)</t>
  </si>
  <si>
    <t>Arai, T (corresponding author), Natl Inst Polar Res, Antarctic Meteorite Res Ctr, 1-9-10 Kaga, Tokyo 1738515, Japan.</t>
  </si>
  <si>
    <t>tomoko@nipr.ac.jp</t>
  </si>
  <si>
    <t>SPRINGEROPEN</t>
  </si>
  <si>
    <t>CAMPUS, 4 CRINAN ST, LONDON, N1 9XW, ENGLAND</t>
  </si>
  <si>
    <t>1880-5981</t>
  </si>
  <si>
    <t>EARTH PLANETS SPACE</t>
  </si>
  <si>
    <t>Earth Planets Space</t>
  </si>
  <si>
    <t>10.1186/BF03352808</t>
  </si>
  <si>
    <t>305AM</t>
  </si>
  <si>
    <t>WOS:000256150200022</t>
  </si>
  <si>
    <t>Kuo, CY; Shum, CK; Guo, JY; Yi, YC; Braun, A; Fukumori, I; Matsumoto, K; Sato, T; Shibuya, K</t>
  </si>
  <si>
    <t>Kuo, Chung-Yen; Shum, C. K.; Guo, Jun-yi; Yi, Yuchan; Braun, Alexander; Fukumori, Ichiro; Matsumoto, Koji; Sato, Tadahiro; Shibuya, Kazuo</t>
  </si>
  <si>
    <t>Southern Ocean mass variation studies using GRACE and satellite altimetry</t>
  </si>
  <si>
    <t>Southern Ocean; GRACE; altimetry</t>
  </si>
  <si>
    <t>STERIC SEA-LEVEL; VARIABILITY; GRAVITY; VOLUME; MODEL</t>
  </si>
  <si>
    <t>The Southern Ocean is a major link between the world oceans via complicated processes associated with the melting and accumulation of the vast Antarctic ice sheets and the surrounding sea ice. The Southern Ocean sea level is poorly observed except from recent near-polar orbiting space geodetic satellites. In this study, the Southern Ocean mass variations at the seasonal scale are compared using three independent data sets: (1) the Gravity Recovery And Climate Recovery Experiment (GRACE) observed ocean bottom pressure (OBP), (2) steric-corrected satellite altimetry (ENVISAT) and, (3) the Estimating the Circulation and Climate of the Ocean (ECCO) model OBP data. The height difference between sea level derived from altimetry and steric sea level contains the vertical displacement of the Earth surface due to elastic loading. Here we provide a formulation of this loading term which has not been considered previously in other studies and demonstrate that it is not negligible, especially for regional studies. In this study, we first conduct a global comparison using steric-corrected JASON-1 altimetry with GRACE to validate our technique and to compare with recent studies. The global ocean mass variation comparison shows excellent agreement with high correlation (similar to 0.81) and with discrepancies at 3-5 mm RMS. However, the discrepancies in the Southern Ocean are much larger at 12-17 mm RMS. The mis-modeling of geocenter variations and the second degree zonal harmonic (J(2)) degrade the accuracy of GRACE-derived mass variations, and the choice of ocean temperature data sets and neglecting the loading correction on altimetry affect the OBP comparisons between GRACE and altimetry. This study indicates that the satellite observations (GRACE and ENVISAT) are capable of providing an improved constraint of oceanic mass variations in the Southern Ocean.</t>
  </si>
  <si>
    <t>[Kuo, Chung-Yen] Natl Cheng Kung Univ, Dept Geomat, Tainan 70101, Taiwan; [Shum, C. K.; Guo, Jun-yi; Yi, Yuchan] Ohio State Univ, Sch Earth Sci, Columbus, OH 43210 USA; [Braun, Alexander] Univ Calgary, Dept Geomat Engn, Calgary, AB, Canada; [Fukumori, Ichiro] CALTECH, Jet Prop Lab, Pasadena, CA 91125 USA; [Matsumoto, Koji] Natl Astron Observ, Mizusawa, Iwate, Japan; [Sato, Tadahiro] Tohoku Univ, Res Ctr Predict Earthquakes &amp; Volcan Erupt, Sendai, Miyagi 980, Japan; [Shibuya, Kazuo] Natl Inst Polar Res, Tokyo, Japan</t>
  </si>
  <si>
    <t>National Cheng Kung University; University System of Ohio; Ohio State University; University of Calgary; California Institute of Technology; National Aeronautics &amp; Space Administration (NASA); NASA Jet Propulsion Laboratory (JPL); National Institutes of Natural Sciences (NINS) - Japan; National Astronomical Observatory of Japan (NAOJ); Tohoku University; Research Organization of Information &amp; Systems (ROIS); National Institute of Polar Research (NIPR) - Japan</t>
  </si>
  <si>
    <t>Kuo, CY (corresponding author), Natl Cheng Kung Univ, Dept Geomat, Tainan 70101, Taiwan.</t>
  </si>
  <si>
    <t>kuo70@mail.ncku.edu.tw</t>
  </si>
  <si>
    <t>Guo, Jun-Yi/E-9608-2011; Matsumoto, Koji/AAF-7825-2021; Fukumori, Ichiro/AAY-9005-2020</t>
  </si>
  <si>
    <t>Matsumoto, Koji/0000-0003-4319-1970; Fukumori, Ichiro/0000-0002-0882-6400; Shum, C K/0000-0001-9378-4067</t>
  </si>
  <si>
    <t>10.1186/BF03352814</t>
  </si>
  <si>
    <t>309MW</t>
  </si>
  <si>
    <t>WOS:000256465900005</t>
  </si>
  <si>
    <t>Bonicelli, J; López, D; Ochoa, N; Shreeve, RS</t>
  </si>
  <si>
    <t>Bonicelli P, Jessica; Lopez P, Diana; Ochoa L, Noemi; Shreeve, Rachael S.</t>
  </si>
  <si>
    <t>ZOOPLANKTON COMMUNITY STRUCTURE AND ITS ASSOCIATION WITH THE PHYTOPLANKTON AND WATER MASSES FROM THE BRANSFIELD STRAIT AND ELEPHANT ISLAND DURING 2006 AUSTRAL SUMMER</t>
  </si>
  <si>
    <t>ECOLOGIA APLICADA</t>
  </si>
  <si>
    <t>Spanish</t>
  </si>
  <si>
    <t>Community structure; zooplankton; phytoplankton; Antarctic; Bransfield Strait; Elephant Island; Bransfield Front</t>
  </si>
  <si>
    <t>During the austral summer of 2006 the spatial distribution of zooplankton and its association with some abiotic (water masses) and biotic variables (phytoplankton) were investigated in the Bransfield Strait and to the southeast of Elephant Island, Southern Ocean. The zooplankton community was mainly composed of copepods; the main species present were Metridia gerlachei and Ctenocalanus sp. Nearest neighbor cluster analysis of zooplankton indicated the presence of three major station groupings which were influenced by water masses. One group was found in the southeast of the Bransfield Strait and Elephant Island, where the Weddell water masses predominated. This showed low phytoplankton abundance, whilst zooplankton abundance was high. This may be an example of top down grazing control. A second group was found in the northwest of the Strait, where the Bellingshausen water masses predominated. Here the zooplankton abundance was low, whilst the phytoplankton was found in high concentrations. A third group was found in the Bransfield front. Despite the high abundances of phytoplankton located here, zooplankton abundance was low. This could be due to the strong turbulence at the front. However, Metridia gerlachei was found in much higher concentrations here than other copepods. This species may be able to cope with such conditions due to its extensive diurnal vertical migrations.</t>
  </si>
  <si>
    <t>[Bonicelli P, Jessica] Inst Mar Peru IMARPE, Area Evaluac Prod Secundaria, Esquina Gamarra &amp; Gen Valle S-N, Chucuito Callao 5, Peru; [Lopez P, Diana] Univ Nacl Mayor San Marcos, Museo Hist Nat, Dept Limnol, Jesus Maria Lima 14, Peru; [Ochoa L, Noemi] Univ Nacl Mayor San Marcos, Lab Ecol Acuat, Lima 1, Peru; [Shreeve, Rachael S.] British Antarctic Survey, Cambridge CB3 0ET, England</t>
  </si>
  <si>
    <t>Instituto del Mar del Peru; Universidad Nacional Mayor de San Marcos; Universidad Nacional Mayor de San Marcos; UK Research &amp; Innovation (UKRI); Natural Environment Research Council (NERC); NERC British Antarctic Survey</t>
  </si>
  <si>
    <t>Bonicelli, J (corresponding author), Inst Mar Peru IMARPE, Area Evaluac Prod Secundaria, Esquina Gamarra &amp; Gen Valle S-N, Chucuito Callao 5, Peru.</t>
  </si>
  <si>
    <t>jecabonicelli@yahoo.com; dmabelp@gmail.com; aochoal@unmsm.edu.pe; rssh@bas.ac.uk</t>
  </si>
  <si>
    <t>UNIV NACIONAL AGRARIA LA MOLINA</t>
  </si>
  <si>
    <t>LIMA</t>
  </si>
  <si>
    <t>LA MOLINA, LIMA, 00000, PERU</t>
  </si>
  <si>
    <t>1726-2216</t>
  </si>
  <si>
    <t>1993-9507</t>
  </si>
  <si>
    <t>ECOL APL</t>
  </si>
  <si>
    <t>Ecol. Apl.</t>
  </si>
  <si>
    <t>JAN-DEC</t>
  </si>
  <si>
    <t>10.21704/rea.v7i1-2.371</t>
  </si>
  <si>
    <t>VH8FJ</t>
  </si>
  <si>
    <t>hybrid, Green Submitted</t>
  </si>
  <si>
    <t>WOS:000455428400019</t>
  </si>
  <si>
    <t>Grotti, M; Soggia, F; Lagomarsino, C; Goessler, W; Francesconi, KA</t>
  </si>
  <si>
    <t>Grotti, Marco; Soggia, Francesco; Lagomarsino, Cristina; Goessler, Walter; Francesconi, Kevin A.</t>
  </si>
  <si>
    <t>Arsenobetaine is a significant arsenical constituent of the red Antarctic alga Phyllophora antarctica</t>
  </si>
  <si>
    <t>ENVIRONMENTAL CHEMISTRY</t>
  </si>
  <si>
    <t>algae; arsenic; marine ecosystems; speciation</t>
  </si>
  <si>
    <t>MARINE-ALGAE</t>
  </si>
  <si>
    <t>Significant amounts of arsenobetaine ( up to 0.80 mu g Asg(-1) dry mass, representing 17% of the extractable arsenic) were found in the extracts of all four samples of the red alga Phyllophora antarctica collected from two sites in Antarctica ( Terra Nova Bay and Cape Evans). The assignment was made with high performance liquid chromatography inductively coupled plasma mass spectrometry (HPLC-ICPMS) based on exact cochromatography with a standard compound with two chromatographic systems ( cation-exchange and ion-pairing reversed-phase), each run under two sets of mobile phase conditions. Particular care was taken during sample preparation to ensure that the arsenobetaine was of algal origin and did not result from epiphytes associated with the alga. Another red alga, Iridaea cordata, collected from Terra Nova Bay, did not contain detectable concentrations of arsenobetaine. For both algal species, the majority of the extractable arsenic was present as arsenosugars. Confirmation that marine algae can contain significant amounts of arsenobetaine allows a simpler explanation for the widespread occurrence of this arsenical in marine animals.</t>
  </si>
  <si>
    <t>[Grotti, Marco; Soggia, Francesco; Lagomarsino, Cristina] Univ Genoa, Dept Chem &amp; Ind Chem, I-16146 Genoa, Italy; [Goessler, Walter; Francesconi, Kevin A.] Karl Franzens Univ Graz, Inst Chem Analyt Chem, A-8010 Graz, Austria</t>
  </si>
  <si>
    <t>University of Genoa; University of Graz</t>
  </si>
  <si>
    <t>Grotti, M (corresponding author), Univ Genoa, Dept Chem &amp; Ind Chem, Via Dodecaneso 31, I-16146 Genoa, Italy.</t>
  </si>
  <si>
    <t>Grotti, Marco/HGU-3949-2022; Goessler, Walter/A-1084-2016</t>
  </si>
  <si>
    <t>Grotti, Marco/0000-0001-6956-5761; Goessler, Walter/0000-0002-0142-9373</t>
  </si>
  <si>
    <t>CSIRO PUBLISHING</t>
  </si>
  <si>
    <t>CLAYTON</t>
  </si>
  <si>
    <t>UNIPARK, BLDG 1, LEVEL 1, 195 WELLINGTON RD, LOCKED BAG 10, CLAYTON, VIC 3168, AUSTRALIA</t>
  </si>
  <si>
    <t>1448-2517</t>
  </si>
  <si>
    <t>1449-8979</t>
  </si>
  <si>
    <t>ENVIRON CHEM</t>
  </si>
  <si>
    <t>Environ. Chem.</t>
  </si>
  <si>
    <t>10.1071/EN08025</t>
  </si>
  <si>
    <t>Chemistry, Analytical; Environmental Sciences</t>
  </si>
  <si>
    <t>Chemistry; Environmental Sciences &amp; Ecology</t>
  </si>
  <si>
    <t>315JH</t>
  </si>
  <si>
    <t>WOS:000256874200001</t>
  </si>
  <si>
    <t>Kuppers, P</t>
  </si>
  <si>
    <t>Kuppers, Petra</t>
  </si>
  <si>
    <t>Dancing Stories: A Community Dance Residency in a Hospice in New Zealand</t>
  </si>
  <si>
    <t>ENVIRONMENTAL COMMUNICATION-A JOURNAL OF NATURE AND CULTURE</t>
  </si>
  <si>
    <t>Community Performance; Hospice; New Zealand; Dance; Interconnection</t>
  </si>
  <si>
    <t>Canoes forging through cold waters, mountains rising from the sea, a heart beating under a mountain lake, an albatross sailing toward the Antarctic: these were the story-images of Coastal Mappings, a large-scale community project set in and around Dunedin, New Zealand. In the Coastal Mappings performance project, people in the last months of their lives joined cancer survivors, family members and other interested people in explorations of Pakeha myths (by European-settler descendents) and Maori myths (by descendents of the crews of the first canoes, first inhabitants of New Zealand). Together, we created personal landscapes through movement, storytelling, photography and video. In this essay, I discuss some of the opportunities, challenges and experiences of leading a community dance project in an intercultural social environment, and with people whose relationship to their environment is different from mine.</t>
  </si>
  <si>
    <t>[Kuppers, Petra] Univ Michigan, Ann Arbor, MI 48109 USA</t>
  </si>
  <si>
    <t>University of Michigan System; University of Michigan</t>
  </si>
  <si>
    <t>Kuppers, P (corresponding author), Univ Michigan, Ann Arbor, MI 48109 USA.</t>
  </si>
  <si>
    <t>petra@umich.edu</t>
  </si>
  <si>
    <t>Kuppers, Petra/0000-0003-3540-8383</t>
  </si>
  <si>
    <t>1752-4032</t>
  </si>
  <si>
    <t>ENVIRON COMMUN</t>
  </si>
  <si>
    <t>Environ. Commun.</t>
  </si>
  <si>
    <t>10.1080/17524030802390029</t>
  </si>
  <si>
    <t>Communication; Environmental Studies</t>
  </si>
  <si>
    <t>Communication; Environmental Sciences &amp; Ecology</t>
  </si>
  <si>
    <t>V10TQ</t>
  </si>
  <si>
    <t>WOS:000207486700002</t>
  </si>
  <si>
    <t>Arróniz-Crespo, M; Núñez-Olivera, E; Martínez-Abaigar, J</t>
  </si>
  <si>
    <t>Arroniz-Crespo, M.; Nunez-Olivera, E.; Martinez-Abaigar, J.</t>
  </si>
  <si>
    <t>Hydroxycinnamic acid derivatives in an aquatic liverwort as possible bioindicators of enhanced UV radiation</t>
  </si>
  <si>
    <t>ENVIRONMENTAL POLLUTION</t>
  </si>
  <si>
    <t>UV radiation; UV-absorbing compounds; hydroxycinnamic acid derivatives; bryophytes; bioindicators</t>
  </si>
  <si>
    <t>STRATOSPHERIC OZONE DEPLETION; ULTRAVIOLET-B RADIATION; ABSORBING COMPOUNDS; TERRESTRIAL ECOSYSTEMS; ANTARCTIC MOSS; BRYOPHYTES; RESPONSES; FIELD; PIGMENTATION; GRADIENT</t>
  </si>
  <si>
    <t>We examined, under laboratory conditions, the physiological responses of the aquatic liverwort Jungermannia exsertifolia subsp. cordifolia to artificially enhanced ultraviolet (UV) radiation for 82 days, especially considering the responses of five hydroxycinnamic acid derivatives. This species lives in mountain streams, where it is exposed to low temperatures and high UV levels, and this combination is believed to increase the adverse effects of UV. Enhanced UV radiation hardly caused any change in several physiological variables indicative of vitality, such as F-v/F-m and chlorophylls/phaeopigments ratio (OD430/OD410). Thus, this liverwort seemed to be tolerant to UV radiation, probably due to the accumulation of three UV-absorbing hydroxycinnamic acid derivatives: p-couinaroylmalic acid, 5 ''-(7 '',8 ''-dihydroxycoumaroyl)-2-caffeoylmalic acid, and 5 ''-(7 '',8 ''-dihydroxy-7-O-beta-glucosyl-coumaroyl)-2-caffeoylmalic acid. These compounds might serve as bioindicators of enhanced UV radiation. (C) 2007 Elsevier Ltd. All rights reserved.</t>
  </si>
  <si>
    <t>[Arroniz-Crespo, M.; Nunez-Olivera, E.; Martinez-Abaigar, J.] Univ La Rioja, Logrono La Rioja 26006, Spain</t>
  </si>
  <si>
    <t>Universidad de La Rioja</t>
  </si>
  <si>
    <t>Martínez-Abaigar, J (corresponding author), Univ La Rioja, Complejo Cient Tecnol,Avda Madre Dios 51, Logrono La Rioja 26006, Spain.</t>
  </si>
  <si>
    <t>javier.martinez@unirioja.es</t>
  </si>
  <si>
    <t>Arróniz-Crespo, María/O-1198-2018; Martinez-Abaigar, Javier/L-7000-2014; Nunez-Olivera, Encarnacion/L-7164-2014</t>
  </si>
  <si>
    <t>Arróniz-Crespo, María/0000-0003-0246-7432; Martinez-Abaigar, Javier/0000-0002-9762-9862; Nunez-Olivera, Encarnacion/0000-0002-7221-3852</t>
  </si>
  <si>
    <t>0269-7491</t>
  </si>
  <si>
    <t>1873-6424</t>
  </si>
  <si>
    <t>ENVIRON POLLUT</t>
  </si>
  <si>
    <t>Environ. Pollut.</t>
  </si>
  <si>
    <t>10.1016/j.envpol.2007.03.009</t>
  </si>
  <si>
    <t>256YT</t>
  </si>
  <si>
    <t>WOS:000252766500002</t>
  </si>
  <si>
    <t>Runcie, JW; Gurgel, CFD; Mcdermid, KJ</t>
  </si>
  <si>
    <t>Runcie, John W.; Gurgel, Carlos F. D.; Mcdermid, Karla J.</t>
  </si>
  <si>
    <t>In situ photosynthetic rates of tropical marine macroalgae at their lower depth limit</t>
  </si>
  <si>
    <t>EUROPEAN JOURNAL OF PHYCOLOGY</t>
  </si>
  <si>
    <t>chlorophyll fluorescence; deepwater; electron transport rate; epilithic macroalgae; Corallinales; Hawai'i; in situ; effective quantum yield; Ulva</t>
  </si>
  <si>
    <t>RAPID LIGHT CURVES; ELECTRON-TRANSPORT; UNCHARTED SEAMOUNT; CARBON-DIOXIDE; DISCRIMINATION; REQUIREMENTS; PRODUCTIVITY; FLUORESCENCE; MACROPHYTES; ABUNDANCE</t>
  </si>
  <si>
    <t>Most photophysiological studies of marine macroalgae have focussed on algae in waters shallower than 30 m. However some species are abundant at depths in excess of 100 m with irradiances less than 1 mol photons m-2 s-1. We examined, for the first time, the in situ efficiency of photochemical energy conversion of a variety of epilithic macroalgal species at depths from 86 to 201 m using a piloted submersible and multiple-turnover modulated chlorophyll fluorescence measurements based on the PAM technique. The irradiance at which electron transport rate reached a maximum (Ek) for green algae declined from 50 mol photons m-2 s-1 (at 90 m) to less than 10 mol photons m-2 s-1 at their lower depth limit of 140 m; photochemical quenching in response to light exposure declined markedly at depths below 100 m, while non-photochemical quenching remained low at all depths, indicating minimal photoprotective capacity in these algae. Values of Ek for encrusting Corallinales at 201 m were 4 mol photons m-2 s-1, which exceeded by 400 times the maximum ambient irradiance at that depth. In the short term, the deep-water red algae examined (in particular the encrusting species) were able to tolerate and take advantage of irradiances orders of magnitude greater than the estimated noonday surface irradiance. Non-photochemical quenching of the red algae also increased with depth, indicating these algae retain their capacity for coping with high light even when in very deep waters. Carbon stable isotope data of deep algae confirmed the diffusion of inorganic carbon with its minimal energy requirement is probably the primary means of inorganic carbon uptake. The observed lower depth limits of selected macroalgae at Penguin Bank are shallower than depth limits for comparable species reported in the literature. Occasional smothering of algae by sediment, observed at Penguin Bank, would reduce the annual photon dose, thereby reducing the depth limit.</t>
  </si>
  <si>
    <t>[Runcie, John W.] Univ Sydney, Sch Biol Sci, Sydney, NSW 2006, Australia; [Gurgel, Carlos F. D.] Smithsonian Marine Stn, Ft Pierce, FL 34949 USA; [Mcdermid, Karla J.] Univ Hawaii, Dept Marine Sci, Hilo, HI 96720 USA</t>
  </si>
  <si>
    <t>University of Sydney; Smithsonian Institution; Smithsonian National Museum of Natural History; University of Hawaii System; University Hawaii Hilo</t>
  </si>
  <si>
    <t>Runcie, JW (corresponding author), Univ Sydney, Sch Biol Sci, Sydney, NSW 2006, Australia.</t>
  </si>
  <si>
    <t>jruncie@usyd.edu.au</t>
  </si>
  <si>
    <t>Gurgel, Carlos Frederico Deluqui/E-6897-2014</t>
  </si>
  <si>
    <t>Gurgel, Carlos Frederico Deluqui/0000-0002-7321-6115</t>
  </si>
  <si>
    <t>Australian Academy of Science; NOAA</t>
  </si>
  <si>
    <t>Australian Academy of Science; NOAA(National Oceanic Atmospheric Admin (NOAA) - USA)</t>
  </si>
  <si>
    <t>The authors thank Terri Rust and Frank Sansone for their help in sample analysis, the captain and crew of the R/V Kaimikai-o-Kanaloa, and in particular the Hawai'i Undersea Research Laboratory ( HURL) submersible operations team for their support, especially the submersible pilots, Terry Kerby and Max Cremer. We thank the Australian Antarctic Division for the loan of the submersible fluorometers. JWR was supported in 2006 by an Australian Academy of Science travel grant. This study corresponds to Smithsonian Marine Station contribution 729. This study was funded by a grant from the NOAA Undersea Research Program to KJM and JWR. The authors acknowledge helpful comments from anonymous reviewers. The views expressed herein are those of the authors and do not necessarily reflect the views of NOAA or any of its sub-agencies.</t>
  </si>
  <si>
    <t>0967-0262</t>
  </si>
  <si>
    <t>1469-4433</t>
  </si>
  <si>
    <t>EUR J PHYCOL</t>
  </si>
  <si>
    <t>Eur. J. Phycol.</t>
  </si>
  <si>
    <t>PII 906059091</t>
  </si>
  <si>
    <t>10.1080/09670260801979303</t>
  </si>
  <si>
    <t>Plant Sciences; Marine &amp; Freshwater Biology</t>
  </si>
  <si>
    <t>376PE</t>
  </si>
  <si>
    <t>WOS:000261194700005</t>
  </si>
  <si>
    <t>Krell, A; Beszteri, B; Dieckmann, G; Glöckner, G; Valentin, K; Mock, T</t>
  </si>
  <si>
    <t>Krell, Andreas; Beszteri, Bank; Dieckmann, Gerhard; Gloeckner, Gernot; Valentin, Klaus; Mock, Thomas</t>
  </si>
  <si>
    <t>A new class of ice-binding proteins discovered in a salt-stress-induced cDNA library of the psychrophilic diatom Fragilariopsis cylindrus (Bacillariophyceae)</t>
  </si>
  <si>
    <t>Antarctic; Arctic; Fragilariopsis cylindrus; EST; salt stress; gene expression; ice-binding protein</t>
  </si>
  <si>
    <t>EXPRESSED SEQUENCE TAGS; SEA-ICE; ANTIFREEZE PROTEIN; FATTY-ACIDS; TOLERANCE; ACCLIMATION; GLUTATHIONE; CYCLOPHILIN; SUBSTANCES; METABOLISM</t>
  </si>
  <si>
    <t>The psychrophilic pennate diatom Fragilariopsis cylindrus is a dominant polar diatom adapted to grow at extremely low temperatures and high salinities prevailing in the brine channels of sea ice. As a basis for deeper investigations of this physiological trait, we used an EST approach to find candidate genes involved in acclimation to salt stress in this diatom. From 2880 cDNA clones sequenced from the 5' end, 1691 high-quality tentative unique sequences were assembled and analysed. Only 62% of these sequences have homologues in the genomes of two mesophilic diatoms, Thalassiosira pseudonana (centric) and Phaeodactylum tricornutum (pennate), which share 73-78% of their genes. Of the 1691 sequences, 44.2% could be functionally characterized by comparison with the Swiss-Prot and RefSeq databases. These include sequences encoding different ionic transporters and antiporters, reflecting the requirement to re-establish the ion homeostasis disturbed by exogenous salt stress. Furthermore, numerous genes encoding heat shock proteins (hsps), genes related to oxidative stress, and three key genes involved in the proline synthesis pathway, the most important organic osmolyte synthesized in F. cylindrus were identified. A major outcome of this analysis is the finding of four full-length ORFs showing significant similarities to ice-binding proteins (IBPs), which have been shown in a parallel study to be specific to sea ice diatoms, giving evidence of their ability to shape their habitat.</t>
  </si>
  <si>
    <t>[Krell, Andreas; Beszteri, Bank; Dieckmann, Gerhard; Valentin, Klaus; Mock, Thomas] Alfred Wegner Inst Marine &amp; Polar Res, D-27570 Bremerhaven, Germany; [Gloeckner, Gernot] Fritz Lipmann Inst eV, Leibniz Inst Age Res, D-07745 Jena, Germany; [Mock, Thomas] Univ E Anglia, Sch Environm Sci, Norwich NR4 7TJ, Norfolk, England</t>
  </si>
  <si>
    <t>Helmholtz Association; Alfred Wegener Institute, Helmholtz Centre for Polar &amp; Marine Research; Leibniz Institut fur Alternsforschung - Fritz-Lipmann-Institut (FLI); University of East Anglia</t>
  </si>
  <si>
    <t>Krell, A (corresponding author), Alfred Wegner Inst Marine &amp; Polar Res, Handelshafen 12, D-27570 Bremerhaven, Germany.</t>
  </si>
  <si>
    <t>andreas.krell@awi.de</t>
  </si>
  <si>
    <t>Valentin, Klaus/G-5862-2014; Beszteri, Bank/D-1961-2010; Mock, Thomas/A-3127-2008; Glöckner, Gernot/A-7800-2010; Dieckmann, Gerhard S/B-4307-2010</t>
  </si>
  <si>
    <t>Beszteri, Bank/0000-0002-6852-1588; Mock, Thomas/0000-0001-9604-0362; Glöckner, Gernot/0000-0002-9061-1061;</t>
  </si>
  <si>
    <t>PII 906057000</t>
  </si>
  <si>
    <t>10.1080/09670260802348615</t>
  </si>
  <si>
    <t>WOS:000261194700009</t>
  </si>
  <si>
    <t>Beckers, JM</t>
  </si>
  <si>
    <t>Andersen, TE</t>
  </si>
  <si>
    <t>Beckers, Jacques M.</t>
  </si>
  <si>
    <t>Laser guide stars for daytime thermal IR observations</t>
  </si>
  <si>
    <t>EXTREMELY LARGE TELESCOPES: WHICH WAVELENGTHS?: RETIREMENT SYMPOSIUM FOR ARNE ARDEBERG</t>
  </si>
  <si>
    <t>Retirement Symposium for Arne Ardeberg on Extremely Large Telescopes - Which Wavelengths</t>
  </si>
  <si>
    <t>NOV 29-30, 2007</t>
  </si>
  <si>
    <t>Lund, SWEDEN</t>
  </si>
  <si>
    <t>extremely large telescopes; laser guide stars; daytime observations; antarctic sites; JWST</t>
  </si>
  <si>
    <t>DOME-C</t>
  </si>
  <si>
    <t>In connection with the planning for Extremely Large Telescopes, I revisit a 2001 paper in which Cacciam and I describe the use of Sodium Laser Guide Stars (LGSs) for diffraction limited daytime astronomical observations. The enabling technology for seeing LGSs in broad daylight is the availability of very narrow band magneto-optical filters. Considering the dominance of the atmospheric scattering of sunlight at wavelengths below 3.5 mu m, daytime use is only indicated for mid- and thermal IR observations. The launch of the 6.5 meter aperture James Web Space Telescope (JWST) appears to be assured and planned for 2013, preceding the most optimistic projections for the completion date of the first ELT. The projected thermal background of the JWST is very much less than that of ground-based telescopes so that any competing ground-based observations are limited to those parameters not covered by the JWST: angular resolution (requiring apertures &gt; 6.5 meter) and spectral resolution (R &gt; 3000). I compare the benefits of daytime observations with Na-LGS equipped telescopes and interferometers at moderate latitudes and in the Antarctic (specifically Dome C). In both cases daytime observations extend the amount of observing time available for TIR observations. Antarctic observations have the advantage of having very good seeing during the daytime, significantly better than nighttime seeing. In contrast the seeing at moderate latitude sites significantly deteriorates during daytime resulting in lower quality observations than during nighttime. In addition Antarctic sites are less hostile to maintenance and operations during daytime (summer) observations as compared to nighttime (winter) observations.</t>
  </si>
  <si>
    <t>Univ Washington, Dept Astron, Seattle, WA 98195 USA</t>
  </si>
  <si>
    <t>Beckers, JM (corresponding author), Univ Washington, Dept Astron, Seattle, WA 98195 USA.</t>
  </si>
  <si>
    <t>jbeckers@astro.washington.edu</t>
  </si>
  <si>
    <t>978-0-8194-7184-0</t>
  </si>
  <si>
    <t>69860G</t>
  </si>
  <si>
    <t>10.1117/12.801270</t>
  </si>
  <si>
    <t>Astronomy &amp; Astrophysics; Optics</t>
  </si>
  <si>
    <t>BIB17</t>
  </si>
  <si>
    <t>WOS:000258065600015</t>
  </si>
  <si>
    <t>Zhao, J; Yang, N; Zeng, RY</t>
  </si>
  <si>
    <t>Zhao, Jing; Yang, Ning; Zeng, Runying</t>
  </si>
  <si>
    <t>Phylogenetic analysis of type I polyketide synthase and nonribosomal peptide synthetase genes in Antarctic sediment</t>
  </si>
  <si>
    <t>EXTREMOPHILES</t>
  </si>
  <si>
    <t>polyketide synthase; nonribosomal peptide synthetase; diversity; Antarctic</t>
  </si>
  <si>
    <t>COMPLETE GENOME SEQUENCE; BIOCHEMICAL-CHARACTERIZATION; DRUG DISCOVERY; MARINE; DIVERSITY; BIOSYNTHESIS; COMMUNITY; LIBRARIES; ANTIBIOTICS; DOMAINS</t>
  </si>
  <si>
    <t>The modular polyketide synthase (PKS) and nonribosomal peptide synthetase (NRPS) have been found to be involved in natural product synthesis in many microorganisms. Study on their diversities in natural environment may provide important ecological insights, in addition to opportunities for antibacterial drugs development. In this study, the PKS and NRPS gene diversities in two coast sediments near China Zhongshan Station were studied. The phylogenetic analysis of amino acid (AA) sequences indicated that the identified ketosynthase (KS) domains were clustered with those from diverse bacterial groups, including Proteobacteria, Firmicutes, Planctomycetes, Cyanobacteria, Actinobacteria, and some uncultured symbiotic bacteria. One new branch belonging to hybrid PKS/NRPS enzyme complexes and five independent clades were found on the phylogenetic tree. The obtained adenylation (A) domains were mainly clustered within the Cyanobacteria and Proteobacteria group. Most of the identified KS and A domains showed below 80 and 60% identities at the AA level to their closest matches in GenBank, respectively. The diversities of both KS and A domains in natural environmental sample were different from those in sewage-contaminated sample. These results revealed the great diversity and novelty of both PKS and NRPS genes in Antarctic sediment.</t>
  </si>
  <si>
    <t>[Yang, Ning; Zeng, Runying] SOA, Inst Oceanog 3, Key Lab Marine Biogenet Resources, Xiamen 361005, Peoples R China; [Zhao, Jing] Xiamen Univ, Sch Life Sci, Xiamen 361005, Peoples R China</t>
  </si>
  <si>
    <t>Third Institute of Oceanography, Ministry of Natural Resources; Xiamen University</t>
  </si>
  <si>
    <t>Zeng, RY (corresponding author), SOA, Inst Oceanog 3, Key Lab Marine Biogenet Resources, Daxue Rd 178, Xiamen 361005, Peoples R China.</t>
  </si>
  <si>
    <t>runyingzeng@yahoo.com.cn</t>
  </si>
  <si>
    <t>SPRINGER JAPAN KK</t>
  </si>
  <si>
    <t>SHIROYAMA TRUST TOWER 5F, 4-3-1 TORANOMON, MINATO-KU, TOKYO, 105-6005, JAPAN</t>
  </si>
  <si>
    <t>1431-0651</t>
  </si>
  <si>
    <t>1433-4909</t>
  </si>
  <si>
    <t>Extremophiles</t>
  </si>
  <si>
    <t>10.1007/s00792-007-0107-9</t>
  </si>
  <si>
    <t>Biochemistry &amp; Molecular Biology; Microbiology</t>
  </si>
  <si>
    <t>248XZ</t>
  </si>
  <si>
    <t>WOS:000252191800013</t>
  </si>
  <si>
    <t>Bogillo, V; Bazylevska, M</t>
  </si>
  <si>
    <t>Mehmetli, E; Koumanova, B</t>
  </si>
  <si>
    <t>Bogillo, Vladimir; Bazylevska, Mariya</t>
  </si>
  <si>
    <t>Variations of organochlorine contaminants in Antarctica</t>
  </si>
  <si>
    <t>FATE OF PERSISTENT ORGANIC POLLUTANTS IN THE ENVIRONMENT</t>
  </si>
  <si>
    <t>NATO Science for Peace and Security Series C-Environmental Security</t>
  </si>
  <si>
    <t>NATO Advanced Research Workshop on Fate of Persistent Organic Pollutants in the Environment</t>
  </si>
  <si>
    <t>APR 25-27, 2007</t>
  </si>
  <si>
    <t>Istanbul, TURKEY</t>
  </si>
  <si>
    <t>Antarctica; Southern ocean; temporal; seasonal; spatial; latitudinal variations of organochlorine contaminants; cold condensation; cold fractionation; half-lives of contaminants in air; seawater; snow; sea ice</t>
  </si>
  <si>
    <t>LONG-RANGE TRANSPORT; PERSISTENT ORGANIC POLLUTANTS; HISTORICAL EMISSION INVENTORY; KING-GEORGE ISLAND; TERRA-NOVA BAY; POLYCHLORINATED-BIPHENYLS; CHLORINATED PESTICIDES; GLOBAL FRACTIONATION; SOUTHERN-HEMISPHERE; COLD CONDENSATION</t>
  </si>
  <si>
    <t>The transport of organochlorine contaminants (OCs) to Antarctica, the latitudinal, seasonal, and spatial variations of their content in air, the temporal variations in air, seawater, snow, and sea ice are discussed. The temporal declines in OCs level in the mobile compartments of Antarctic environment reflect the global declines in use and emission of the contaminants in Southern Hemisphere.</t>
  </si>
  <si>
    <t>[Bogillo, Vladimir; Bazylevska, Mariya] Natl Acad Sci Ukraine, Dept Antarctic Geol &amp; Geoecol, Inst Geol Sci, UA-01054 Kiev, Ukraine</t>
  </si>
  <si>
    <t>National Academy of Sciences Ukraine; Institute of Geological Sciences, National Academy of Sciences of Ukraine</t>
  </si>
  <si>
    <t>vbog@carrier.kiev.ua</t>
  </si>
  <si>
    <t>1871-4668</t>
  </si>
  <si>
    <t>978-1-4020-6640-5</t>
  </si>
  <si>
    <t>NATO SCI PEACE SECUR</t>
  </si>
  <si>
    <t>NATO Sci. Peace Secur. Ser. C- Environ. Secur.</t>
  </si>
  <si>
    <t>10.1007/978-1-4020-6642-9_20</t>
  </si>
  <si>
    <t>Ecology; Environmental Sciences; Environmental Studies; Soil Science; Water Resources</t>
  </si>
  <si>
    <t>Conference Proceedings Citation Index - Science (CPCI-S); Conference Proceedings Citation Index - Social Science &amp; Humanities (CPCI-SSH)</t>
  </si>
  <si>
    <t>Environmental Sciences &amp; Ecology; Agriculture; Water Resources</t>
  </si>
  <si>
    <t>BHE41</t>
  </si>
  <si>
    <t>WOS:000252431300020</t>
  </si>
  <si>
    <t>Partitioning and exchange of organochlorine contaminants between abiotic compartments in Antarctica</t>
  </si>
  <si>
    <t>Antarctica; Southern ocean; persistent organic pollutants; cold condensation; cold fractionation; air/seawater; air/snow; air/soil and seawater/sediment exchange; atmospheric persistence of organochlorine contaminants; global warming; POPs fate</t>
  </si>
  <si>
    <t>DIBENZO-P-DIOXINS; POLYCHLORINATED-BIPHENYLS; ATMOSPHERIC TRANSPORT; ORGANIC VAPORS; AIR; PCBS; PESTICIDES; SOILS; MODEL; WATER</t>
  </si>
  <si>
    <t>The partition coefficients for OCs at typical temperatures in Antarctica and Southern Ocean are calculated and they are used to estimate the partitioning of the OCs between atmospheric particulates and gas phase, scavenging the OCs from gas phase by snow, atmospheric persistence of the OCs, the direction and strength of air/seawater, air/snow, air/soil, and seawater/sediment fluxes for the OCs in Antarctica. The air/soil and seawater/sediment fluxes of OCs are agreed with cold condensation hypothesis. The deep water formation in Weddell and Ross Seas, the shelf sediments and the Antarctic snowpack would be important sinks for the OCs.</t>
  </si>
  <si>
    <t>10.1007/978-1-4020-6642-9_25</t>
  </si>
  <si>
    <t>WOS:000252431300025</t>
  </si>
  <si>
    <t>Säwström, C; Pearce, I; Davidson, AT; Rosén, P; Laybourn-Parry, J</t>
  </si>
  <si>
    <t>Saewstroem, Christin; Pearce, Imojen; Davidson, Andrew T.; Rosen, Peter; Laybourn-Parry, Johanna</t>
  </si>
  <si>
    <t>Influence of environmental conditions, bacterial activity and viability on the viral component in 10 Antarctic lakes</t>
  </si>
  <si>
    <t>FEMS MICROBIOLOGY ECOLOGY</t>
  </si>
  <si>
    <t>Antarctic; bacteria; virus; activity; viability; freshwaters</t>
  </si>
  <si>
    <t>FRESH-WATER; FLOW-CYTOMETRY; MARINE BACTERIOPLANKTON; MEMBRANE INTEGRITY; METABOLIC-ACTIVITY; HUMIC SUBSTANCES; LOOP DYNAMICS; VIRUSES; ABUNDANCE; COMMUNITY</t>
  </si>
  <si>
    <t>The influence of biotic and environmental variables on the abundance of virus-like particles (VLP) and lysogeny was investigated by examining 10 Antarctic lakes in the Vestfold Hills, Antarctica, in the Austral Spring. Abundances of viruses and bacteria and bacterial metabolic activity were estimated using SYBR Gold (Molecular Probes), Baclight((TM)) (Molecular Probes) and 6-carboxy fluorescein diacetate (6CFDA). Total bacterial abundances among the lakes ranged between 0.12 and 0.47 x 10(9) cells L-1. The proportion of intact bacteria (SYTO (R) 9-stained cells) ranged from 13.5% to 83.5% of the total while active (6CFDA-stained) bacteria ranged from 33% to 116%. Lysogeny, as determined with Mitomycin C, was only detected in one of the lakes surveyed, indicating that viral replication was occurring predominately via the lytic cycle. Principal component analysis and confirmatory correlation analysis of individual variables showed that high abundances of VLP occurred in lakes of high conductivity with high concentrations of soluble reactive phosphorus and dissolved organic carbon. These lakes supported high concentrations of chlorophyll a, intact bacteria, rates of bacterial production and virus to bacteria ratios. Thus, it was suggested that viral abundance in the Antarctic lakes was determined by the trophic status of the lake and the resultant abundance of intact bacterial hosts.</t>
  </si>
  <si>
    <t>Umea Univ, Climate Impact Res Ctr, Dept Ecol &amp; Environm Sci, SE-98107 Umea, Sweden; Australian Govt Antarctic Div, Kingston, Tas, Australia; Keele Univ, Inst Environm Phys Sci &amp; Appl Sci, Keele, Staffs, England</t>
  </si>
  <si>
    <t>Umea University; Australian Antarctic Division; Keele University</t>
  </si>
  <si>
    <t>Säwström, C (corresponding author), Umea Univ, Climate Impact Res Ctr, Dept Ecol &amp; Environm Sci, SE-98107 Umea, Sweden.</t>
  </si>
  <si>
    <t>christin.sawstrom@emg.umu.se</t>
  </si>
  <si>
    <t>Sawstrom, Christin/F-5462-2018</t>
  </si>
  <si>
    <t>Sawstrom, Christin/0000-0001-9297-3093</t>
  </si>
  <si>
    <t>GREAT CLARENDON ST, OXFORD OX2 6DP, ENGLAND</t>
  </si>
  <si>
    <t>0168-6496</t>
  </si>
  <si>
    <t>1574-6941</t>
  </si>
  <si>
    <t>FEMS MICROBIOL ECOL</t>
  </si>
  <si>
    <t>FEMS Microbiol. Ecol.</t>
  </si>
  <si>
    <t>10.1111/j.1574-6941.2007.00407.x</t>
  </si>
  <si>
    <t>Microbiology</t>
  </si>
  <si>
    <t>239FK</t>
  </si>
  <si>
    <t>WOS:000251504000003</t>
  </si>
  <si>
    <t>Reiss, CS; Checkley, DM; Bograd, SJ</t>
  </si>
  <si>
    <t>Reiss, Christian S.; Checkley, David M., Jr.; Bograd, Steven J.</t>
  </si>
  <si>
    <t>Remotely sensed spawning habitat of Pacific sardine (Sardinops sagax) and Northern anchovy (Engraulis mordax) within the California Current</t>
  </si>
  <si>
    <t>FISHERIES OCEANOGRAPHY</t>
  </si>
  <si>
    <t>California Cooperative Oceanic Fisheries Investigations; California Current; northern anchovy; Pacific sardine; remotely sensed; Sea-viewing Wide Field-of-view Sensor; spawning habitat; sea surface temperature</t>
  </si>
  <si>
    <t>PELAGIC FISH; SOUTHERN; TEMPERATURE; POPULATIONS; ABUNDANCE; BIOLOGY</t>
  </si>
  <si>
    <t>We use trivariate kernel density estimation to define spawning habitat of northern anchovy (Engraulis mordax) and Pacific sardine (Sardinops sagax) in the California Current using satellite data and in situ egg samples from the Continuous Underway Fish Egg Sampler (CUFES) deployed during surveys in April by the California Cooperative Oceanic Fisheries Investigations (CalCOFI). Observed egg distributions were compared with monthly composite satellite sea surface temperature (SST) and surface chlorophyll a (chl a) data. Based on the preferred spawning habitat, as defined in SST and chl a space, the satellite data were used to predict potential spawning habitat along two areas of the west coast of North America. Data from the southern area (21.5 to 39 degrees N) were compared to observations from the CUFES data for the period 1998-2005. Northern anchovy and Pacific sardine exhibited distinctly different spawning habitat distributions. A significant relationship was found between satellite-based spawning area and that measured during surveys for sardine. CUFES area estimated for sardine was similar in magnitude to that estimated from satellite data (similar to 60 000 km(2)). In contrast, spawning habitat of anchovy averaged between 1000 and 200 000 km(2) for the period 1998-2005, for CUFES and satellite estimates, respectively. Interannual variability in the area (km(2)) and duration (months) of estimates of suitable habitat varied between species and between the northern (39 to 50.5 degrees N) and southern portions of the California Current. Long-term monitoring of habitat variability using remote sensing data is possible in the southern portion of the California Current, and could be improved upon in the northern area with the addition of surveys better timed to describe relationships between observed and estimated spawning habitats.</t>
  </si>
  <si>
    <t>[Reiss, Christian S.] SW Fisheries Sci Ctr, NOAA Fisheries, Antarctic Ecosyst Res Div, La Jolla, CA 92037 USA; [Checkley, David M., Jr.] Univ Calif San Diego, Scripps Inst Oceanog, Integrat Oceanog Div, La Jolla, CA 92093 USA; [Bograd, Steven J.] SW Fisheries Sci Ctr, NOAA Fisheries, Div Environm Res, Pacific Grove, CA 93950 USA</t>
  </si>
  <si>
    <t>National Oceanic Atmospheric Admin (NOAA) - USA; University of California System; University of California San Diego; Scripps Institution of Oceanography; National Oceanic Atmospheric Admin (NOAA) - USA</t>
  </si>
  <si>
    <t>Reiss, CS (corresponding author), SW Fisheries Sci Ctr, NOAA Fisheries, Antarctic Ecosyst Res Div, 8604 La Jolla Shores Dr, La Jolla, CA 92037 USA.</t>
  </si>
  <si>
    <t>christian.reiss@noaa.gov</t>
  </si>
  <si>
    <t>Bograd, Steven/AAA-4824-2021</t>
  </si>
  <si>
    <t>1054-6006</t>
  </si>
  <si>
    <t>1365-2419</t>
  </si>
  <si>
    <t>FISH OCEANOGR</t>
  </si>
  <si>
    <t>Fish Oceanogr.</t>
  </si>
  <si>
    <t>10.1111/j.1365-2419.2008.00469.x</t>
  </si>
  <si>
    <t>Fisheries; Oceanography</t>
  </si>
  <si>
    <t>280GL</t>
  </si>
  <si>
    <t>WOS:000254413700006</t>
  </si>
  <si>
    <t>Pavlova, K; Gargova, S; Hristozova, T; Tankova, Z</t>
  </si>
  <si>
    <t>Pavlova, K.; Gargova, S.; Hristozova, T.; Tankova, Z.</t>
  </si>
  <si>
    <t>Phytase from antarctic yeast strain Cryptococcus laurentii AL27</t>
  </si>
  <si>
    <t>FOLIA MICROBIOLOGICA</t>
  </si>
  <si>
    <t>ASPERGILLUS-NIGER; SCHWANNIOMYCES-CASTELLII; MYOINOSITOL PHOSPHATES; CULTURE-CONDITIONS; ACID-PHOSPHATASE; PURIFICATION; BIOSYNTHESIS; FICUUM</t>
  </si>
  <si>
    <t>Cryptococcus laurentii strain AL(27) demonstrating significant potential for intracellular phytase production was selected by 2-step screening of Antarctic yeasts. The strain showed increased phytase activity in a culture medium with 40 g/L sucrose, KH2PO4 providing 5 mg/L phosphorus, and cultivation temperature of 24 degrees C, which relates it to psychrotrophic microorganisms. The enzyme kinetic characteristics according to sodium phytate were K-m = 0.98 mmol/L, v(lim) = 33.3 mu mol g(-1) min(-1). The enzyme had maximum activity at 40 degrees C and acted within a wide pH range: from 2.0 to 5.5, which is of positive significance for its direct inclusion into the feed of monogastric animals.</t>
  </si>
  <si>
    <t>[Pavlova, K.; Hristozova, T.] Bulgarian Acad Sci, Inst Microbiol, Lab Appl Microbiol, Plovdiv 4002, Bulgaria; [Gargova, S.; Tankova, Z.] Univ Food Technol, Plovdiv 4002, Bulgaria</t>
  </si>
  <si>
    <t>Bulgarian Academy of Sciences; Medical University Plovdiv; University of Food Technology - Bulgaria</t>
  </si>
  <si>
    <t>Pavlova, K (corresponding author), Bulgarian Acad Sci, Inst Microbiol, Lab Appl Microbiol, Plovdiv 4002, Bulgaria.</t>
  </si>
  <si>
    <t>konpavlova@yahoo.com</t>
  </si>
  <si>
    <t>0015-5632</t>
  </si>
  <si>
    <t>FOLIA MICROBIOL</t>
  </si>
  <si>
    <t>Folia Microbiol.</t>
  </si>
  <si>
    <t>10.1007/s12223-008-0004-3</t>
  </si>
  <si>
    <t>285BS</t>
  </si>
  <si>
    <t>WOS:000254752900004</t>
  </si>
  <si>
    <t>Monestiez, P; Nerini, D</t>
  </si>
  <si>
    <t>DaboNiang, S; Ferraty, F</t>
  </si>
  <si>
    <t>Monestiez, Pascal; Nerini, David</t>
  </si>
  <si>
    <t>A cokriging method for spatial functional data with applications in oceanology</t>
  </si>
  <si>
    <t>FUNCTIONAL AND OPERATORIAL STATISTICS</t>
  </si>
  <si>
    <t>Contributions to Statistics</t>
  </si>
  <si>
    <t>1st International Workshop on Functional and Operatorial Statistics</t>
  </si>
  <si>
    <t>JUN 19-21, 2008</t>
  </si>
  <si>
    <t>Univ Paul Sabatier, Toulouse, FRANCE</t>
  </si>
  <si>
    <t>Univ Paul Sabatier</t>
  </si>
  <si>
    <t>MODEL</t>
  </si>
  <si>
    <t>We propose a method based on a functional linear model which takes into account the spatial dependencies between sampled functions. The problem of estimating a function when spatial samples are available is turned to a standard cokriging problem for suitable choices of the regression function. This work is illustrated with environmental data in Antarctic where marine mammals operate as samplers. In the framework of second order stationarity, the application points out some difficulties when estimating the structure of spatial covariance between observations.</t>
  </si>
  <si>
    <t>[Monestiez, Pascal] INRA, Unite Biostat &amp; Proc Spatiaux Domaine St Paul, F-84914 Avignon, France; [Nerini, David] Ctr Oceanol Marseille, Lab Microbiol Geochim &amp; Ecol Marines, CNRS, UMR 6117, Case 901,Campus Luminy, F-13288 Marseille, France</t>
  </si>
  <si>
    <t>INRAE; Aix-Marseille Universite; Centre National de la Recherche Scientifique (CNRS)</t>
  </si>
  <si>
    <t>Monestiez, P (corresponding author), INRA, Unite Biostat &amp; Proc Spatiaux Domaine St Paul, F-84914 Avignon, France.</t>
  </si>
  <si>
    <t>Pascal.Monestiez@avignon.inra.fr; david.nerini@univmed.fr</t>
  </si>
  <si>
    <t>DABO, SOPHIE/AAL-4771-2020</t>
  </si>
  <si>
    <t>DABO, SOPHIE/0000-0002-4000-6752; NERINI, DAVID/0000-0002-7995-1364</t>
  </si>
  <si>
    <t>PHYSICA-VERLAG GMBH &amp; CO</t>
  </si>
  <si>
    <t>TIERGARTENSTR 17, D-69121 HEIDELBERG, GERMANY</t>
  </si>
  <si>
    <t>1431-1968</t>
  </si>
  <si>
    <t>978-3-7908-2061-4</t>
  </si>
  <si>
    <t>CONTRIB STAT</t>
  </si>
  <si>
    <t>10.1007/978-3-7908-2062-1_36</t>
  </si>
  <si>
    <t>Statistics &amp; Probability</t>
  </si>
  <si>
    <t>Mathematics</t>
  </si>
  <si>
    <t>BIB08</t>
  </si>
  <si>
    <t>WOS:000258056000036</t>
  </si>
  <si>
    <t>Cárdenas, J; Aldea, C; Valdovinos, C</t>
  </si>
  <si>
    <t>Cardenas, Javiera; Aldea, Cristian; Valdovinos, Claudio</t>
  </si>
  <si>
    <t>CHILEAN MARINE MOLLUSCA OF NORTHERN PATAGONIA COLLECTED DURING THE CIMAR-10 FJORDS CRUISE</t>
  </si>
  <si>
    <t>GAYANA</t>
  </si>
  <si>
    <t>Biodiversity; taxonomy; South America; fjords; Polyplacophora; Gastropoda; Bivalvia; Scaphopoda</t>
  </si>
  <si>
    <t>GASTROPODA; CALYPTRAEIDAE; BIVALVIA; COAST</t>
  </si>
  <si>
    <t>The tip of the South American cone is one of the most interesting Subantarctic areas, both biogeographically and ecologically. Nonetheless, knowledge of the area's biodiversity, in particular that of the subtidal marine habitats, remains poor. Therefore, in 2004, a biodiversity research project was carried out as a part of the cruise Cimar-10 Fjords, organized and supported by the Chilean National Oceanographic Committee (CONA). The results of the subtidal marine mollusk Surveys are presented herein. The samples were collected aboard the Agor 60 Vidal Gormaz in winter 2004. The study area covered the northern Chilean Patagonia from Seno de Relocanvi (41 degrees 31'S) to Boca del Guafo (43 degrees 49'S), on the continental shelf from 22 to 353 in depth. The Mollusca were collected at 23 sampling sites using an Agassiz trawl. In total, 67 species were recorded: 4% Polyplacophora (Leptochitonidae, Ischnochitonidae), 58% Gastropoda (Lepetidae, Fissurellidae, Trochidae, Turbinidae, Calptraeidae, Capulidae, Naticidae, Ranellidae, Cerithiopsidae, Epitoniidae, Muricidae, Buccinidae, Columbellidae, Nassariidae, Volutidae, Cancellariidae, Turridae, Pyramidellidae, Acteonidae, Chilinidae), 36% Bivalvia (Nuclidae, Yoldiidae, Malletiidae, Tindariidae, Limopsidae Phylobryidae, Mytilidae. Pectinidae, Propeamussidae, Lucinidae, Thyasiridae, Neoleptonidae, Carditidae: Condylocardiidae, Veneridae, Tellinidae, Lyonsiidae, Pandoridae, Cuspidariidae), and 1% Scaphopoda (Rhabdidae). Our results show a high proportion of southern (Magellanic) subtidal species;, 45 species (67%) are strictly Magellanic or Antarctic and another 16 (24%) were widespread species, with distributions extending to the south Of Our Study area. Only six species (9%) were strictly Peruvian.</t>
  </si>
  <si>
    <t>[Cardenas, Javiera; Aldea, Cristian] Ctr Quaternary Studies CEQUA, Punta Arenas, Chile; [Cardenas, Javiera; Valdovinos, Claudio] Univ Concepcion, EULA Chile Environm Sci Ctr, Unit Aquat Syst, Concepcion, Chile; [Aldea, Cristian] Univ Vigo, Fac Ciencias Mar, Dept Ecol &amp; Biol Anim, Vigo, Spain; [Valdovinos, Claudio] Patagonian Ecosyst Res Ctr CIEP, Coyhaique, Chile</t>
  </si>
  <si>
    <t>Universidad de Concepcion; Universidade de Vigo</t>
  </si>
  <si>
    <t>Cárdenas, J (corresponding author), Ctr Quaternary Studies CEQUA, Casilla 113-D, Punta Arenas, Chile.</t>
  </si>
  <si>
    <t>cvaldovi@udec.cl</t>
  </si>
  <si>
    <t>Valdovinos, Claudio/AAQ-1625-2020; Aldea, Cristian/J-5391-2013</t>
  </si>
  <si>
    <t>Aldea, Cristian/0000-0002-4473-6509</t>
  </si>
  <si>
    <t>Patagonian Ecosystems Research Center (CIEP) of CONICYT</t>
  </si>
  <si>
    <t>Patagonian Ecosystems Research Center (CIEP) of CONICYT(Comision Nacional de Investigacion Cientifica y Tecnologica (CONICYT)CONICYT Regional/CIEP)</t>
  </si>
  <si>
    <t>We gratefully thank the Chilean National Oceanographic Committee (CONA) for the financial support of this study through the Cimar-10 Fjords Project. We also thank Dr. Oscar Parra (CIEP Director) and Tatiana Hromic (chief scientist on the cruise) for facilitating this study. Our special thanks are given to the following persons, who kindly collaborated in this study: Antonio Urbina, Julio Moscoso, Marysol Azocar, Gabriela Mancilla, Carolina Moya, Pablo Pedreros, Alex Garcia and Alejandra Stehr. Furthermore, we thank Danielle Barrioa for translating and correcting the English text. This publication was Supported by the Patagonian Ecosystems Research Center (CIEP) of CONICYT</t>
  </si>
  <si>
    <t>EDICIONES UNIV, CONCEPCION</t>
  </si>
  <si>
    <t>CONCEPCION</t>
  </si>
  <si>
    <t>COMITE DE PUBLICACION, CASILLA 2407, CONCEPCION, 00000, CHILE</t>
  </si>
  <si>
    <t>0717-6538</t>
  </si>
  <si>
    <t>Gayana</t>
  </si>
  <si>
    <t>Oceanography; Zoology</t>
  </si>
  <si>
    <t>391YC</t>
  </si>
  <si>
    <t>WOS:000262269100010</t>
  </si>
  <si>
    <t>Satish-Kumar, M; Hokada, T; Kawakami, T; Dunkley, DJ</t>
  </si>
  <si>
    <t>SatishKumar, M; Motoyoshi, Y; Osanai, Y; Hiroi, Y; Shiraishi, K</t>
  </si>
  <si>
    <t>Satish-Kumar, M.; Hokada, T.; Kawakami, T.; Dunkley, Daniel J.</t>
  </si>
  <si>
    <t>Geosciences research in East Antarctica (0°E-60°E): present status and future perspectives</t>
  </si>
  <si>
    <t>GEODYNAMIC EVOLUTION OF EAST ANTARCTICA: A KEY TO THE EAST-WEST GONDWANA CONNECTION</t>
  </si>
  <si>
    <t>Geological Society Special Publication</t>
  </si>
  <si>
    <t>DRONNING MAUD LAND; PRINCE-CHARLES MOUNTAINS; TEMPERATURE METAMORPHIC ROCKS; HIGH-GRADE METAMORPHISM; SOR-RONDANE MOUNTAINS; LUTZOW-HOLM COMPLEX; U-PB GEOCHRONOLOGY; NAPIER COMPLEX; GRENVILLE-AGE; ENDERBY-LAND</t>
  </si>
  <si>
    <t>In both palaeoenvironmental and palaeogeographical studies. Antarctica plays a unique role in our understanding of the history of the Earth. It has maintained a unique geographical position at the South Pole for long periods. As the only unpopulated continent, the absence of political barriers or short-term economic interests has allowed international collaborative science to flourish. Although 98% of its area is covered by ice, the coastal Antarctic region is one of the well-studied regions in the world. The integrity and success of geological studies lies in the fact that exposed outcrops are well preserved in the low-latitude climate. The continuing programme of the Japanese Antarctic Research Expedition focuses on the geology of East Antarctica, especially in the Dronning Maud Land and Enderby Land regions. Enderby Land preserves some of the oldest Archaean rocks on Earth, and the Mesoproterozoic to Palaeozoic history of Dronning Maud Land is extremely important in understanding the formation and dispersion of Rodinia and subsequent assembly of Gondwana. The geological features in this region have great significance in defining the temporal and spatial extension of orogenic belts formed by the collision of proto-continents. Present understanding of the evolution of East Antarctica in terms of global tectonics allows us to visualize how continents have evolved through time and space, and how far back in time the present-day plate-tectonic regime may have operated. Although several fundamental research problems still need to be resolved, the future direction of geoscience research in Antarctica will focus on how the formation and evolution of continents and supercontinents have affected the Earth's environment, a question that has been addressed only in recent years.</t>
  </si>
  <si>
    <t>[Satish-Kumar, M.] Shizuoka Univ, Inst Geosci, Suruga Ku, Shizuoka 4228529, Japan; [Hokada, T.; Dunkley, Daniel J.] Natl Inst Polar Res, Itabashi Ku, Tokyo 1738515, Japan; [Kawakami, T.] Kyoto Univ, Dept Geol &amp; Mineral, Sakyo Ku, Kyoto 6068502, Japan</t>
  </si>
  <si>
    <t>Shizuoka University; Research Organization of Information &amp; Systems (ROIS); National Institute of Polar Research (NIPR) - Japan; Kyoto University</t>
  </si>
  <si>
    <t>Satish-Kumar, M (corresponding author), Shizuoka Univ, Inst Geosci, Suruga Ku, Oya 836, Shizuoka 4228529, Japan.</t>
  </si>
  <si>
    <t>smsatis@ipc.shizuoka.ac.jp</t>
  </si>
  <si>
    <t>Hokada, Tomokazu/AAC-7847-2019; Kawakami, Tetsuo/AAQ-3357-2021; Satish-Kumar, M./AAN-4420-2021</t>
  </si>
  <si>
    <t>Kawakami, Tetsuo/0000-0002-5921-5562; Satish-Kumar, Madhusoodhan/0000-0003-3604-7399; Dunkley, Daniel/0000-0003-0655-4496</t>
  </si>
  <si>
    <t>GEOLOGICAL SOC PUBLISHING HOUSE</t>
  </si>
  <si>
    <t>BATH</t>
  </si>
  <si>
    <t>UNIT 7, BRASSMILL ENTERPRISE CTR, BRASSMILL LANE, BATH BA1 3JN, AVON, ENGLAND</t>
  </si>
  <si>
    <t>0305-8719</t>
  </si>
  <si>
    <t>978-1-86239-268-7</t>
  </si>
  <si>
    <t>GEOL SOC SPEC PUBL</t>
  </si>
  <si>
    <t>Geol. Soc. Spec. Publ.</t>
  </si>
  <si>
    <t>10.1144/SP308.1</t>
  </si>
  <si>
    <t>BJV41</t>
  </si>
  <si>
    <t>WOS:000267258500001</t>
  </si>
  <si>
    <t>Jacobs, J; Bingen, B; Thomas, RJ; Bauer, W; Wingate, MTD; Feitio, P</t>
  </si>
  <si>
    <t>Jacobs, Joachim; Bingen, Bernard; Thomas, Robert J.; Bauer, Wilfried; Wingate, Michael T. D.; Feitio, Paulino</t>
  </si>
  <si>
    <t>Early Palaeozoic orogenic collapse and voluminous late-tectonic magmatism in Dronning Maud Land and Mozambique: insights into the partially delaminated orogenic root of the East African-Antarctic Orogen?</t>
  </si>
  <si>
    <t>PB ZIRCON DATA; U-TH-PB; MESOPROTEROZOIC CORRELATIONS; NORTHERN MOZAMBIQUE; BELT; GJELSVIKFJELLA; EVOLUTION; ROCKS; AGE; EXTENSION</t>
  </si>
  <si>
    <t>The late tectonic history of the southern part of the Late Neoproterozoic-Early Palaeozoic East African-Antarctic Orogen (EAAO) is characterized by lateral extrusion, extensional collapse and large volumes of high-temperature A(2)-type granitoids. This late-tectonic igneous province covers an area more than 15 000 km(2) of the EAAO in Dronning Maud Land (East Antarctica) and its northerly continuation as the Nampula Complex of NE Mozambique. The magmatic province is bounded in the north by the Lurio Belt. New secondary ionization mass spectrometry (SIMS) U-Pb analyses of zircons from two major late-tectonic granitoid intrusions from Dronning Maud Land indicate crystallization ages of 501 +/- 7 and 499 +/- 4 Ma, whereas a major extensional shear zone was dated at 507 +/- 9 Ma. New SIMS zircon U-Pb analyses of late-tectonic granitoid sheets and plutons from the Nampula Province indicate ages of 512 +/- 4, 508 +/- 4, 508 +/- 2 and 507 +/- 3 Ma. Consequently, the late-tectonic magmatism can be bracketed between c. 530 and 485 Ma. It started with small gabbro bodies emplaced at c. 530-520 Ma, culminated with the intrusion of major granite-charnockite plutons at c. 510-500 Ma and terminated with the introduction of small volumes of sheet-like granite at c. 485 Ma. The new dates demonstrate that extensional shearing and granitoid intrusion are synchronous, and that orogenic collapse and the magmatism are related. We ascribe the distribution, structural style, geochemical composition and age of the late magmatic province to a process of partial delamination of the orogenic root in the southern third of the EAAO. It remains to be tested whether there is a relationship between orogenic collapse-granitoid magmatism and south-directed escape tectonics in the southernmost EAAO.</t>
  </si>
  <si>
    <t>[Jacobs, Joachim] Univ Bergen, Dept Earth Sci, N-5007 Bergen, Norway; [Bingen, Bernard] Geol Survey Norway, N-7491 Trondheim, Norway; [Thomas, Robert J.; Bauer, Wilfried] British Geol Survey, Kingsley Dunham Ctr, Nottingham NG12 5GG, England; [Wingate, Michael T. D.] Geol Survey Western Australia, Perth, WA 6004, Australia; [Feitio, Paulino] Direcao Nacl Geol, Maputo, Mozambique</t>
  </si>
  <si>
    <t>University of Bergen; Geological Survey of Norway; UK Research &amp; Innovation (UKRI); Natural Environment Research Council (NERC); NERC British Geological Survey; Geological Survey of Western Australia</t>
  </si>
  <si>
    <t>Bauer, Wilfried/AAB-2269-2019; Bingen, Bernard/F-7116-2011</t>
  </si>
  <si>
    <t>Bauer, Wilfried/0000-0003-0359-8952; Wingate, Michael/0000-0003-2528-417X; Bingen, Bernard/0000-0002-4901-2016</t>
  </si>
  <si>
    <t>10.1144/SP308.3</t>
  </si>
  <si>
    <t>WOS:000267258500003</t>
  </si>
  <si>
    <t>Ishizuka, H</t>
  </si>
  <si>
    <t>Ishizuka, Hideo</t>
  </si>
  <si>
    <t>An overview of geological studies of JARE in the Napier Complex, Enderby Land, East Antarctica</t>
  </si>
  <si>
    <t>HIGH-GRADE METAMORPHISM; HIGH-TEMPERATURE METAMORPHISM; RARE-EARTH-ELEMENTS; MT. RIISER-LARSEN; UHT METAMORPHISM; ORTHO-PYROXENE; TONAGH ISLAND; ZIRCON GEOCHRONOLOGY; CRUSTAL METAMORPHISM; BEARING GRANULITES</t>
  </si>
  <si>
    <t>Subsequent to the reconnaissance fieldwork in 1982, the Japanese Antarctic Research Expedition (JARS) carried out extensive geological studies that focused on structural and tectonic aspects, petrology, geochemistry and geochronology of the Napier Complex in Enderby Land, East Antarctica. Detailed field investigations in several key areas, including geological mapping of the Mt. Riiser-Larsen area and Tonagh Island, revealed that the Napier Complex comprises layered and massive gneiss units, of which the layered unit is composed of garnet felsic gneiss, orthopyroxene felsic gneiss, pelitic and basic gneisses, impure quartzite, and minor metamorphosed banded iron formation, whereas the massive unit consists mainly of orthopyroxene felsic gneiss. The boundary between the units is transitional in the Mt. Riiser-Larsen area, in which metamorphosed anorthosite and ultramafic rocks occur as thin layers, or blocks or pods, but on Tonagh Island the boundary is closely associated with the shear zone. Nine deformation episodes (D-1-D-9) were suggested for Tonagh Island. These results of fieldwork were presented in detail in two geological maps. Geochemical studies showed that (1) garnet-sillimanite gneisses and garnet-rich felsic gneisses were derived from mudstone and sandstone, respectively, both enriched in MgO, Cr and Ni; (2) orthopyroxene felsic gneisses have a close REE affinity with Archaean tonalite-trondhjemite-granodiorite (TTG); (3) basic gneisses were derived from light rare earth element (LREE)-enriched or -depleted basalts; (4) meta-ultramafic rocks are comparable with komatiite and related depleted mantle peridotite. This suite of protoliths is reminiscent of Archaean greenstone-granite belts. Precise analyses of physical conditions of metamorphism were carried out by using reliable approaches such as feldspar thermometry, alumina content of orthopyroxene, inverted pigeonite and bulk-rock compositions, and clino- and orthopyroxene compositions with different textures (porphyroblastic and neoblastic), and the results suggested that the maximum metamorphic temperature might have reached 1130 degrees C (i.e. ultrahigh-temperature (UHT) metamorphism). P-T evolution of the Napier UHT metamorphism was examined by analyses of reaction textures combined with fluid inclusion studies, suggesting both clockwise (Bunt Island) and counterclockwise (Mt. Riiser-Larsen and Tonagh Island) P-T-t paths. U-Pb sensitive high-resolution ion microprobe and secondary ionization mass spectrometry zircon ages from the Mt. Riiser-Larsen area and Tonagh Island indicate three stages of protolith formation at around 3.28-3.23, 3.07 and 2.68-2.63 Ga, and two contrasting ages for the timing of peak UHT metamorphism at either c. 2.55 or c. 2.51-2.45 Ga. On the basis of these results, more comprehensive studies on the Napier Complex are essential in the future for understanding (1) the role and age of TTG protolith and (2) the origin and timing of UHT metamorphism.</t>
  </si>
  <si>
    <t>Kochi Univ, Dept Geol, Kochi 7808520, Japan</t>
  </si>
  <si>
    <t>Kochi University</t>
  </si>
  <si>
    <t>Ishizuka, H (corresponding author), Kochi Univ, Dept Geol, Kochi 7808520, Japan.</t>
  </si>
  <si>
    <t>ishizuka@cc.kochi-u.ac.jp</t>
  </si>
  <si>
    <t>10.1144/SP308.5</t>
  </si>
  <si>
    <t>WOS:000267258500005</t>
  </si>
  <si>
    <t>Erlingsson, U</t>
  </si>
  <si>
    <t>Erlingsson, Ulf</t>
  </si>
  <si>
    <t>A jokulhlaup from a Laurentian captured ice shelf to the Gulf of Mexico could have caused the bolling warming</t>
  </si>
  <si>
    <t>GEOGRAFISKA ANNALER SERIES A-PHYSICAL GEOGRAPHY</t>
  </si>
  <si>
    <t>Wisconsin glaciation; megaflood; mwp-1a; meltwater pulse; interstadial; deglaciation; climate forcing; climate change; Mississippi Fan; Mississippi Canyon; ice age; atmospheric methane concentration; atmospheric carbon dioxide concentration; sea-level change; Unktehi</t>
  </si>
  <si>
    <t>GLACIAL LAKE AGASSIZ; MELTWATER PULSE 1A; NORTH-ATLANTIC; YUCATAN CHANNEL; SUBGLACIAL MELTWATER; LAST DEGLACIATION; SHEET MELTWATER; CLIMATE; WATER; SEA</t>
  </si>
  <si>
    <t>Since the rapid rate of global warming at the onset of the Bolling interstadial became evident, its cause has been under debate. It coincides closely in time with a strong global transgression called meltwater pulse 1a. One attempt at solution says that a meltwater pulse of Antarctic origin could cause an increase in North Atlantic Deep Water formation, and thus give rise to the Bolling interstadial. However, others have disputed that Antarctic meltwater would have that effect, and furthermore, the start of the Bolling interstadial is not even associated with an increase in North Atlantic Deep Water. A controversial hypothesis says that some Laurentian meltwater came from a jokulhlaup (sub-glacial outburst flood), but no study has yet shown unequivocally that sufficient amounts of water could be stored under the ice. Furthermore, according to all available data a melt-water pulse from the Laurentian ice would give rise to strong cooling, not warming. Nevertheless, meg-afloods appear instrumental in accumulating the Mississippi Fan, created entirely during the Quaternary period, and dramatic climate changes are characteristic of this period. This paper presents a hypothetical chain of events, building on the published literature and simple calculations, to investigate whether the order of magnitude is reasonable. The hypothesis is that a jokulhlaup from a Laurentian captured ice shelf flowed out through the Mississippi, boosted the Gulf Stream, reinvigorated the North Atlantic circulation, and as a result triggered the Bolling warm phase.</t>
  </si>
  <si>
    <t>Lindorm Inc, Miami Springs, FL 33166 USA</t>
  </si>
  <si>
    <t>Erlingsson, U (corresponding author), Lindorm Inc, 601 Plover Ave, Miami Springs, FL 33166 USA.</t>
  </si>
  <si>
    <t>ulf@erlingsson.com</t>
  </si>
  <si>
    <t>0435-3676</t>
  </si>
  <si>
    <t>1468-0459</t>
  </si>
  <si>
    <t>GEOGR ANN A</t>
  </si>
  <si>
    <t>Geogr. Ann. Ser. A-Phys. Geogr.</t>
  </si>
  <si>
    <t>90A</t>
  </si>
  <si>
    <t>10.1111/j.1468-0459.2008.00107.x</t>
  </si>
  <si>
    <t>Geography, Physical; Geology</t>
  </si>
  <si>
    <t>308SF</t>
  </si>
  <si>
    <t>WOS:000256409600002</t>
  </si>
  <si>
    <t>Bockheim, J; McLeod, M</t>
  </si>
  <si>
    <t>Bockheim, James; McLeod, Malcolm</t>
  </si>
  <si>
    <t>Early Pliocene expansion of the East Antarctic Ice Sheet, Upper Wright Valley, Antarctica</t>
  </si>
  <si>
    <t>glacial geomorphology; Peleus till; wet-based glacier; Labyrinth; North Fork; South Fork</t>
  </si>
  <si>
    <t>SOUTHERN VICTORIA LAND; TAYLOR GLACIER; DEVELOPMENT RATES; BONNEY DRIFT; DRY VALLEYS; GEOMORPHOLOGY; MOUNTAINS; LABYRINTH; MIOCENE; REGION</t>
  </si>
  <si>
    <t>Whereas the glacial geomorphology of lower and central Wright Valley is reasonably well understood, the upper valley region, including the North and South Forks and the Dais, has received little attention. Our studies suggest that a wet-based glacier overrode the area and deposited what has been mapped elsewhere as the Peleus till. While we did not observe this silt-rich till in the Labyrinth, it occurs on the Dais and in protected areas of the North and South Forks. Most importantly, our findings imply that the Wright Upper Glacier, an outlet glacier of the East Antarctic Ice Sheet, deposited lateral moraines and lateral-moraine segments along the north and south walls of both the North and South Forks following deposition of the Peleus till. We argue that this drift is correlative with Taylor IVa drift in central Taylor Valley and Alpine III drift in central Wright Valley, based on landscape features, surface-boulder weathering, soil development, and stratigraphy. The presence of meltwater channels, outwash, kame moraines, esker-like features, and kames suggests that ice-marginal or supraglacial water may have accompanied this glaciation.</t>
  </si>
  <si>
    <t>[Bockheim, James] Univ Wisconsin, Dept Soil Sci, Madison, WI 53706 USA; [Bockheim, James] Univ Wisconsin, Gaylord Nelson Inst Environm Studies, Madison, WI 53706 USA; [McLeod, Malcolm] Landcare Res, Hamilton, New Zealand</t>
  </si>
  <si>
    <t>University of Wisconsin System; University of Wisconsin Madison; University of Wisconsin System; University of Wisconsin Madison; Landcare Research - New Zealand</t>
  </si>
  <si>
    <t>Bockheim, J (corresponding author), Univ Wisconsin, Dept Soil Sci, 1525 Observ Dr, Madison, WI 53706 USA.</t>
  </si>
  <si>
    <t>bockheim@wisc.edu; mcleodm@landcareresearch.co.nz</t>
  </si>
  <si>
    <t>New Zealand Foundation for Research, Science and Technology [C09X0307]; Antarctica New Zealand</t>
  </si>
  <si>
    <t>New Zealand Foundation for Research, Science and Technology(New Zealand Foundation for Research, Science and Technology); Antarctica New Zealand</t>
  </si>
  <si>
    <t>We appreciate the field assistance provided by M. R. Balks and J. Aislabie. The New Zealand Foundation for Research, Science and Technology under C09X0307 supported this project, with logistic support by Antarctica New Zealand. We appreciate the assistance of the staff at Scott Base. B. L. Hall, R. A. Ackert and an anonymous reviewer offered insightful comments on an earlier draft of this manuscript.</t>
  </si>
  <si>
    <t>10.1111/j.1468-0459.2008.338.x</t>
  </si>
  <si>
    <t>342KA</t>
  </si>
  <si>
    <t>WOS:000258781800001</t>
  </si>
  <si>
    <t>Omelon, CR</t>
  </si>
  <si>
    <t>Omelon, Christopher R.</t>
  </si>
  <si>
    <t>Endolithic Microbial Communities in Polar Desert Habitats</t>
  </si>
  <si>
    <t>GEOMICROBIOLOGY JOURNAL</t>
  </si>
  <si>
    <t>endolithic microorganisms; geomicrobiology; astrobiology; biosignatures; polar habits</t>
  </si>
  <si>
    <t>MCMURDO DRY VALLEYS; ANTARCTIC COLD DESERT; ROSS DESERT; SP-NOV; CRYPTOENDOLITHIC CYANOBACTERIA; FOSSIL FORMATION; ATACAMA DESERT; LICHENS; MICROORGANISMS; SANDSTONE</t>
  </si>
  <si>
    <t>Microorganisms inhabiting terrestrial endolithic habitats are widespread in polar environments including the Antarctic Dry Valleys and the Canadian high Arctic. Their ability to survive in these harsh environments is a result of their finding protection from extremes in temperature, aridity, radiation and winds by colonizing nutrient-rich subsurface habitats that provide more amenable conditions for growth, often developing as vertically stratified communities that include fungi, algae, cyanobacteria and heterotrophic bacteria. Despite finding some refuge from climatic extremes, endolithic microorganisms commonly produce extracellular polysaccharides to avoid desiccation and minimize the damaging effects of freeze-thaw cycles. These microorganisms are geochemically reactive with their endolithic surroundings, observed as heterogeneous concentrations and distributions of metals resulting from mineral dissolution and precipitation reactions as well as element and nutrient release and cycling. Novel microscopy techniques such as SEM-BSE reveal much information about the physiological state of these microorganisms in situ, and show how under specific conditions, microbe-mineral interactions produce unique biosignatures of interest to studies in astrobiology. Their ability to change in situ pH conditions shows that can be directly involved in weathering of endolithic habitats, but the ecology of a given endolithic microbial community can have varying effects on rates of rock weathering. These differences in weathering rates may be an important control on microbial species diversity in polar desert endolithic habitats.</t>
  </si>
  <si>
    <t>Univ Texas Austin, Dept Geol Sci, Jackson Sch Geosci, Austin, TX 78712 USA</t>
  </si>
  <si>
    <t>University of Texas System; University of Texas Austin</t>
  </si>
  <si>
    <t>Omelon, CR (corresponding author), Univ Texas Austin, Dept Geol Sci, Jackson Sch Geosci, 1 Univ Stn,Mail Stop C-1100, Austin, TX 78712 USA.</t>
  </si>
  <si>
    <t>omelon@mail.utexas.edu</t>
  </si>
  <si>
    <t>Omelon, Christopher/B-8520-2011</t>
  </si>
  <si>
    <t>Omelon, Christopher/0000-0003-4563-3189</t>
  </si>
  <si>
    <t>Canada's Natural Sciences and Engineering Research Council of Canada; University of Texas at Austin</t>
  </si>
  <si>
    <t>Canada's Natural Sciences and Engineering Research Council of Canada(Natural Sciences and Engineering Research Council of Canada (NSERC)); University of Texas at Austin</t>
  </si>
  <si>
    <t>The author would like to thank two anonymous reviewers for their constructive comments that improved the focus of the original manuscript. This work is supported by Canada's Natural Sciences and Engineering Research Council of Canada and the Jackson School of Geosciences at the University of Texas at Austin.</t>
  </si>
  <si>
    <t>TAYLOR &amp; FRANCIS INC</t>
  </si>
  <si>
    <t>PHILADELPHIA</t>
  </si>
  <si>
    <t>530 WALNUT STREET, STE 850, PHILADELPHIA, PA 19106 USA</t>
  </si>
  <si>
    <t>0149-0451</t>
  </si>
  <si>
    <t>1521-0529</t>
  </si>
  <si>
    <t>GEOMICROBIOL J</t>
  </si>
  <si>
    <t>Geomicrobiol. J.</t>
  </si>
  <si>
    <t>7-8</t>
  </si>
  <si>
    <t>10.1080/01490450802403057</t>
  </si>
  <si>
    <t>Environmental Sciences; Geosciences, Multidisciplinary</t>
  </si>
  <si>
    <t>361IA</t>
  </si>
  <si>
    <t>WOS:000260120100010</t>
  </si>
  <si>
    <t>Hogg, AM</t>
  </si>
  <si>
    <t>Hogg, Andrew McC.</t>
  </si>
  <si>
    <t>Glacial cycles and carbon dioxide: A conceptual model</t>
  </si>
  <si>
    <t>ATMOSPHERIC CO2; CLIMATE-CHANGE; SOUTHERN-OCEAN; ICE CORE; TEMPERATURE</t>
  </si>
  <si>
    <t>The correlation between Antarctic temperature and atmospheric carbon dioxide concentration is a key feature of Quaternary climate cycles. The cycle is characterised by pronounced temporal asymmetry; with rapid increase in both temperature and CO(2) at the glacial termination. Here I compare observed climate cycles with results from a simple model which predicts the evolution of global temperature and carbon dioxide over the glacial- interglacial cycle. The model includes a term which parameterises deep ocean release of CO(2) in response to warming, and thereby amplifies the glacial cycle. In this model, temperature rises lead CO(2) increases at the glacial termination, but it is the feedback between these two quantities that drives the abrupt warming during the transition from glacial to interglacial periods.</t>
  </si>
  <si>
    <t>Australian Natl Univ, Sch Earth Sci, Canberra, ACT 0200, Australia</t>
  </si>
  <si>
    <t>Hogg, AM (corresponding author), Australian Natl Univ, Sch Earth Sci, Canberra, ACT 0200, Australia.</t>
  </si>
  <si>
    <t>andy.hogg@anu.edu.au</t>
  </si>
  <si>
    <t>Hogg, Andy/AAZ-8733-2021; Hogg, Andy McC./A-7553-2011</t>
  </si>
  <si>
    <t>Hogg, Andy/0000-0001-5898-7635; Hogg, Andy McC./0000-0001-5898-7635</t>
  </si>
  <si>
    <t>L01701</t>
  </si>
  <si>
    <t>10.1029/2007GL032071</t>
  </si>
  <si>
    <t>248UQ</t>
  </si>
  <si>
    <t>WOS:000252182900007</t>
  </si>
  <si>
    <t>Gordon, JE; Haynes, VM; Hubbard, A</t>
  </si>
  <si>
    <t>Gordon, John E.; Haynes, Valerie M.; Hubbard, Alun</t>
  </si>
  <si>
    <t>Recent glacier changes and climate trends on South Georgia</t>
  </si>
  <si>
    <t>GLOBAL AND PLANETARY CHANGE</t>
  </si>
  <si>
    <t>South Georgia; subantarctic; glaciers; climate change</t>
  </si>
  <si>
    <t>ANTARCTIC PENINSULA; FLUCTUATIONS; AMERICA; ISLAND</t>
  </si>
  <si>
    <t>Frontal positions for a sample of 36 out of a potential ca. 160 glaciers on the subantarctic island of South Georgia have been mapped, georeferenced in ArcGIS and analysed for 20th century fluctuations from a variety of satellite, aerial and oblique photographs, ground surveys and historical sources. Of these glaciers, 2 are currently advancing, 28 are retreating and 6 are stable or show a complex, ambiguous response. Most glaciers on the north-east coast of the island attained more advanced positions during the late 19th century. Since then, smaller mountain and valley glaciers have progressively receded. Although showing more variable behaviour, larger tidewater and sea-calving valley and outlet glaciers generally remained in relatively advanced positions until the 1980s. Since then, however, most glaciers have receded; some of these retreats have been dramatic and a number of small mountain glaciers will soon disappear. The response of these glaciers can be related to the direct effects of synoptic-scale warming on glacier mass balance, particularly since the 1950s. However, individual long-profile geometry also appears to be a significant influence on the response and sensitivity characteristics of these glaciers. Thus the delayed and varied behaviour of the larger glaciers may in part reflect their longer response time compared to small glaciers, but the combination of both larger and higher-elevation basins, potentially exposed to enhanced orographic-driven accumulation, is a critical factor that cannot be discounted, especially for the few calving glaciers that have recently advanced. Our observations indicate that glacier recession on the windward south-west coast, where precipitation is significantly higher, is less widespread. (c) 2007 Elsevier B.V All rights reserved.</t>
  </si>
  <si>
    <t>[Gordon, John E.] Scottish Nat Heritage, Edinburgh EH6 5NP, Midlothian, Scotland; [Gordon, John E.] Univ St Andrews, Sch Geog &amp; Geosci, St Andrews KY16 9AL, Fife, Scotland; [Haynes, Valerie M.] Univ Stirling, Sch Biol &amp; Environm Sci, Stirling FK9 4LA, Scotland; [Hubbard, Alun] Univ Edinburgh, Inst Geog, Edinburgh EH8 9XP, Midlothian, Scotland</t>
  </si>
  <si>
    <t>University of St Andrews; University of Stirling; University of Edinburgh</t>
  </si>
  <si>
    <t>Gordon, JE (corresponding author), Scottish Nat Heritage, 2 Anderson Pl, Edinburgh EH6 5NP, Midlothian, Scotland.</t>
  </si>
  <si>
    <t>john.gordon@snh.gov.uk</t>
  </si>
  <si>
    <t>Gordon, John E/ISA-2835-2023; IPO, PAGES/JXY-7546-2024; Gordon, John/AAI-5085-2020; Hubbard, Alun/R-5085-2017</t>
  </si>
  <si>
    <t>Hubbard, Alun/0000-0002-0503-3915</t>
  </si>
  <si>
    <t>0921-8181</t>
  </si>
  <si>
    <t>1872-6364</t>
  </si>
  <si>
    <t>GLOBAL PLANET CHANGE</t>
  </si>
  <si>
    <t>Glob. Planet. Change</t>
  </si>
  <si>
    <t>10.1016/j.gloplacha.2006.07.037</t>
  </si>
  <si>
    <t>255MZ</t>
  </si>
  <si>
    <t>WOS:000252663400006</t>
  </si>
  <si>
    <t>Pramuk, JB; Robertson, T; Sites, JW; Noonan, BP</t>
  </si>
  <si>
    <t>Pramuk, Jennifer B.; Robertson, Tasia; Sites, Jack W., Jr.; Noonan, Brice P.</t>
  </si>
  <si>
    <t>Around the world in 10 million years:: biogeography of the nearly cosmopolitan true toads (Anura: Bufonidae)</t>
  </si>
  <si>
    <t>GLOBAL ECOLOGY AND BIOGEOGRAPHY</t>
  </si>
  <si>
    <t>Anura; Bayes method; biogeography; Bufonidae; CXCR-4; divergence times; DNA; mtDNA; phylogeny; RAG-1; South America</t>
  </si>
  <si>
    <t>ELLESMERE-ISLAND; DIVERSIFICATION; ORIGIN; PHYLOGENETICS; VERTEBRATES; DIVERGENCE; CONFIDENCE; DISPERSAL; EVOLUTION; MIGRATION</t>
  </si>
  <si>
    <t>Aim The species-rich family of true toads (Anura: Bufonidae) has been the focus of several earlier studies investigating the biogeography of geographically widespread taxa. Herein, we employ newly developed Bayesian divergence estimate methods to investigate the biogeographical history of this group. Resulting age estimates are used to test several key temporal hypotheses including that the origin of the bufonid clade pre-dates Gondwanan vicariance (similar to 105 million years ago, Ma). Area cladograms are also invoked to investigate the geographical origin of the family. Location Worldwide, except the Australia-New Guinea plate, Madagascar and the Antarctic. Methods A phylogenetic hypothesis of the relationships among true toads was derived from analysis of 2521 bp of DNA data including fragments from three mitochondrial (12S, tRNA(val), 16S) and two nuclear (RAG-1, CXCR-4) genes. Analysis of multiple, unlinked loci with a Bayesian method for estimating divergence times allowed us to address the timing and biogeographical history of Bufonidae. Resulting divergence estimates permitted the investigation of alternative vicariance/dispersal scenarios that have been proposed for true toads. Results Our area cladogram resulting from phylogenetic analysis of DNA data supports a South American origin for Bufonidae. Divergence estimates indicate that the family originated earlier than had been suggested previously (78-99 Ma). The age of the enigmatic Caribbean clade was dated to the late Palaeocene-early Eocene. A return of bufonids to the New World in the Eocene was followed by rapid diversification and secondary expansion into South America by the early Oligocene (Rupelian). Main conclusions The South American origin of Bufonidae in the Upper Cretaceous was followed by relatively rapid expansion and radiation around the globe, ending with a return to the Americas via a Eurasian/North American land bridge in the Eocene. Though the exact route of this dispersal (Beringia or North Atlantic) remains unclear, an argument is made for the less frequently invoked North Atlantic connection. The origin of the enigmatic Caribbean lineage was found to be consistent with colonization following the bolide impact at the K/T boundary. These findings provide the first, firm foundation for understanding true toad divergence times and their truly remarkable and global radiation.</t>
  </si>
  <si>
    <t>Bronx Zoo Wildlife Conservat Soc, Dept Herpetol, Bronx, NY 10460 USA; Brigham Young Univ, Dept Integrat Biol, Provo, UT 84602 USA; Duke Univ, Dept Biol, Durham, NC 27708 USA</t>
  </si>
  <si>
    <t>Wildlife Conservation Society; Brigham Young University; Duke University</t>
  </si>
  <si>
    <t>Pramuk, JB (corresponding author), Bronx Zoo Wildlife Conservat Soc, Dept Herpetol, 2300 So Blvd, Bronx, NY 10460 USA.</t>
  </si>
  <si>
    <t>jpramuk@wcs.org</t>
  </si>
  <si>
    <t>1466-822X</t>
  </si>
  <si>
    <t>1466-8238</t>
  </si>
  <si>
    <t>GLOBAL ECOL BIOGEOGR</t>
  </si>
  <si>
    <t>Glob. Ecol. Biogeogr.</t>
  </si>
  <si>
    <t>10.1111/j.1466-8238.2007.00348.x</t>
  </si>
  <si>
    <t>Ecology; Geography, Physical</t>
  </si>
  <si>
    <t>Environmental Sciences &amp; Ecology; Physical Geography</t>
  </si>
  <si>
    <t>237ZF</t>
  </si>
  <si>
    <t>WOS:000251415100009</t>
  </si>
  <si>
    <t>Barnes, DKA; Griffiths, HJ</t>
  </si>
  <si>
    <t>Barnes, David K. A.; Griffiths, Huw J.</t>
  </si>
  <si>
    <t>Biodiversity and biogeography of southern temperate and polar bryozoans</t>
  </si>
  <si>
    <t>Antarctica; biogeography; Bryozoa; endemism; New Zealand; richness; zoogeography</t>
  </si>
  <si>
    <t>ANTARCTIC BENTHIC INVERTEBRATES; SPECIES RICHNESS; BOUVET ISLAND; OCEAN; DIVERSITY; SEA; EVOLUTION; PENINSULA; CRUSTACEA; PATTERNS</t>
  </si>
  <si>
    <t>Aim To describe the distribution of biodiversity and endemism of bryozoans in southern temperate and polar waters. We hypothesized that we would find: (1) no strong latitudinal richness gradient; (2) striking contrasts in richness and endemism between clades and between regions; and (3) that faunal similarity of regions would cluster geographically around each southern continent. Location South Atlantic, Indian and Pacific Oceans and the Southern Ocean. Methods We constructed a data base from known literature, regional data bases and recent finds. We regionalized each southern continent, calculated levels of richness and endemism for each region and continent, and used PRIMER 5 to perform multivariate statistical analysis. Results A third (1681) of global bryozoan species described occur south of 30 degrees S, of which c. 87% were cheilostomes. In richness we found no latitudinal cline and change across longitude was stronger. New Zealand was richest and had the most (60%) endemic species, followed by Antarctica at 57%. There were striking contrasts in regional richness and endemism between clades but the highest levels of between-region similarity were around Antarctica. The timing of past continent connectivity was reflected. Main conclusions Bryozoans show strong hemispherical asymmetry in richness and, like molluscs and corals, decrease away from Australasia rather than with latitude. Species endemism is much lower in Antarctic bryozoans than previously thought, and as this taxon is not particularly dispersive and is now amongst the best studied regionally, maybe Antarctic endemism in general is lower and Antarctica less cut-off to species dispersal than previously thought. However, Antarctic generic endemism is double the level previously calculated and regional faunal similarities are much higher than around other continents - both reflecting long-term isolation. Bryozoans, in contrast to the paradigm of Antarctic fauna, may be fairly robust to predicted climate change. Paradoxically, they may also be one of the best taxa to monitor to sensitively detect marine benthic responses.</t>
  </si>
  <si>
    <t>British Antarctic Survey, NERC, Cambridge CB3 0ET, England</t>
  </si>
  <si>
    <t>Barnes, DKA (corresponding author), British Antarctic Survey, NERC, Madingley Rd, Cambridge CB3 0ET, England.</t>
  </si>
  <si>
    <t>dkab@bas.ac.uk</t>
  </si>
  <si>
    <t>Griffiths, Huw J/D-4234-2009</t>
  </si>
  <si>
    <t>Griffiths, Huw J/0000-0003-1764-223X</t>
  </si>
  <si>
    <t>NERC [dml011000] Funding Source: UKRI; Natural Environment Research Council [dml011000] Funding Source: researchfish</t>
  </si>
  <si>
    <t>10.1111/j.1466-8238.2007.00342.x</t>
  </si>
  <si>
    <t>WOS:000251415100010</t>
  </si>
  <si>
    <t>King, NJ; Priede, IG</t>
  </si>
  <si>
    <t>Orloov, AM; Iwamoto, T</t>
  </si>
  <si>
    <t>King, N. J.; Priede, I. G.</t>
  </si>
  <si>
    <t>Coryphaenoides armatus, the abyssal grenadier:: Global distribution, abundance, and ecology as determined by baited landers</t>
  </si>
  <si>
    <t>GRENADIERS OF THE WORLD OCEANS: BIOLOGY, STOCK ASSESSMENT, AND FISHERIES</t>
  </si>
  <si>
    <t>American Fisheries Society Symposium</t>
  </si>
  <si>
    <t>Symposium on Grenadiers of the World Oceans - Biology, Stock Assessment, and Fisheries held at the 136th Annual Meeting of the American-Fisheries-Society</t>
  </si>
  <si>
    <t>SEP 11, 2006</t>
  </si>
  <si>
    <t>Lake Placid, NY</t>
  </si>
  <si>
    <t>MID-ATLANTIC RIDGE; EASTERN NORTH-ATLANTIC; ARTIFICIAL FOOD FALLS; DEPTH-RELATED TRENDS; SEA DEMERSAL FISHES; DEEP-SEA; IN-SITU; MACROURID FISHES; BODY-SIZE; SCAVENGER ASSEMBLAGES</t>
  </si>
  <si>
    <t>The abyssal grenadier Coryphaenoides armatus (Hector 1875), family Macrouridae, is a benthopelagic deep-sea species with a depth range of 282-5,180 in. with most observations and captures at depths of 2,500 m and deeper. It is one of the most abundant grenadier species in the world's oceans but is absent from the Mediterranean Sea, Arctic Ocean, Indian Ocean north of 45 degrees S, and has not yet been recorded from the Southern Ocean south of the Antarctic Polar Front. Typical total lengths range from 20 to 80 cm and the maximum recorded is 102 cm. Dietary items include mesopelagic fishes and cephalopods, and benthic items such as crustaceans and bivalves. The abyssal grenadier is well documented as an opportunistic scavenger and this propensity has been used to attract individuals to bait within view of submersibles and underwater camera systems to make in situ observations of behavior. Baited cameras have been in use to observe deep-sea scavengers since the late 1960s. with the first confirmed observation of the abyssal grenadier in 1971. More recently, baited photographic autonomous landers have been used to gain data on respiration rates, size frequency, and swimming velocity. In addition, models have been developed and refined to estimate local densities and to quantity the number of fish present at a food fall and their staying time at bait. This ultimately means that baited-camera-derived abundance estimates can be produced, and that. the numbers of scavenging grenadiers and how long they remain at a small food fall can be linked to the productivity of the overlying surface waters.</t>
  </si>
  <si>
    <t>[King, N. J.; Priede, I. G.] Univ Aberdeen, Oceanlab, Newburgh AB41 6AA, Aberdeen, Scotland</t>
  </si>
  <si>
    <t>University of Aberdeen</t>
  </si>
  <si>
    <t>King, NJ (corresponding author), Univ Aberdeen, Oceanlab, Newburgh AB41 6AA, Aberdeen, Scotland.</t>
  </si>
  <si>
    <t>n.king@abdn.ac.uk</t>
  </si>
  <si>
    <t>AMER FISHERIES SOC</t>
  </si>
  <si>
    <t>BETHESDA</t>
  </si>
  <si>
    <t>5410 GROSVENOR LANE, STE 110, BETHESDA, MD 20814-2199 USA</t>
  </si>
  <si>
    <t>0892-2284</t>
  </si>
  <si>
    <t>978-1-934874-00-4</t>
  </si>
  <si>
    <t>AM FISH S S</t>
  </si>
  <si>
    <t>Am. Fish. Soc. Symp.</t>
  </si>
  <si>
    <t>BID29</t>
  </si>
  <si>
    <t>WOS:000258525400012</t>
  </si>
  <si>
    <t>Bonner, CS; Ashley, MCB; Lawrence, JS; Storey, JWV; Luong-Van, DM; Bradley, SG</t>
  </si>
  <si>
    <t>McLean, IS; Casali, MM</t>
  </si>
  <si>
    <t>Bonner, Colin S.; Ashley, Michael C. B.; Lawrence, Jon S.; Storey, John W. V.; Luong-Van, Daniel M.; Bradley, Stuart G.</t>
  </si>
  <si>
    <t>Snodar: a new instrument to measure the height of the boundary layer on the Antarctic plateau</t>
  </si>
  <si>
    <t>GROUND-BASED AND AIRBORNE INSTRUMENTATION FOR ASTRONOMY II, PTS 1-4</t>
  </si>
  <si>
    <t>Conference on Ground-Based and Airborne Instrumentation for Astronomy II</t>
  </si>
  <si>
    <t>atmosphere; boundary layer; SODAR; Antarctica; Antarctic plateau; astronomy; site-testing</t>
  </si>
  <si>
    <t>DOME-C; ATMOSPHERE</t>
  </si>
  <si>
    <t>The height of the atmospheric boundary layer on the Antarctic plateau is of particular importance to designers of optical telescopes for Antarctica. Snodar was developed at the University of New South Wales to measure the height of the atmospheric boundary layer at Dome A and Dome C on the Antarctic plateau. Snodar, or Surface layer Non-Doppler Acoustic Radar, is a true monostatic high-frequency acoustic radar (SODAR) operating between 5 kHz and 15 kHz. As the height of the boundary layer at Dome C is expected to be less then 30 m, and unknown at Dome A, Snodar was designed to have a minimum sampling height of 5 in with a vertical resolution of 1 m or better. Snodar uses a PC/104 computer to perform signal processing in real time, and a USB sound card for low-latency analog IO. Snodar was designed to run autonomously storing data on USB flash disks for retrieval the following summer, while uploading of data acquisition scripts and spot checking of data is possible via Iridium satellite through UNSW's PLATO facility. Snodar also incorporates a unique in-situ calibration sphere. We present details of the design and results from testing of Snodar.</t>
  </si>
  <si>
    <t>[Bonner, Colin S.; Ashley, Michael C. B.; Lawrence, Jon S.; Storey, John W. V.; Luong-Van, Daniel M.; Bradley, Stuart G.] Univ New S Wales, Sch Phys, Sydney, NSW 2052, Australia</t>
  </si>
  <si>
    <t>Bonner, CS (corresponding author), Univ New S Wales, Sch Phys, Sydney, NSW 2052, Australia.</t>
  </si>
  <si>
    <t>cbonner@phys.unsw.edu.au</t>
  </si>
  <si>
    <t>Bradley, Stuart/0000-0003-4441-7791; Lawrence, Jon/0000-0002-6998-6993; Ashley, Michael/0000-0003-1412-2028</t>
  </si>
  <si>
    <t>University of New South Wales; Australian Research Council; Marie Curie Excellence Grant (FOROT) [MEXT-CT-2005-023878]</t>
  </si>
  <si>
    <t>University of New South Wales; Australian Research Council(Australian Research Council); Marie Curie Excellence Grant (FOROT)(European Union (EU))</t>
  </si>
  <si>
    <t>The authors thank Kiera Lindsay for her invaluable help upholstering the sound absorbing material to the inside of Snodars sound cone, Jon Everett for procurement and finally the entire Polar Research Institute of China PANDA traverse team, with particular mention of Xu Zhou and Zhenxi Zhu, for installing and commissioning Snodar at Dome A. This research is financially supported by the University of New South Wales and the Australian Research Council. We also thank Elena Masciadri for supplying the thermocouples that were used to calibrate Snodar under the Marie Curie Excellence Grant (FOROT) MEXT-CT-2005-023878.</t>
  </si>
  <si>
    <t>978-0-8194-7224-3</t>
  </si>
  <si>
    <t>70146I</t>
  </si>
  <si>
    <t>10.1117/12.788154</t>
  </si>
  <si>
    <t>BII89</t>
  </si>
  <si>
    <t>WOS:000259917700217</t>
  </si>
  <si>
    <t>Bortoletto, F; Magrin, D; Bonoli, C; D'Alessandro, M; Fantinel, D; Di Rico, G; Giuliani, C; di Canno, A; Corcione, L</t>
  </si>
  <si>
    <t>Bortoletto, F.; Magrin, D.; Bonoli, C.; D'Alessandro, M.; Fantinel, D.; Di Rico, G.; Giuliani, C.; di Cianno, A.; Corcione, L.</t>
  </si>
  <si>
    <t>Control system for the AMICA infrared camera</t>
  </si>
  <si>
    <t>Antarctica; infrared detectors; control systems; electronics</t>
  </si>
  <si>
    <t>AMICA (Antarctic Medium Infrared Camera) [1] is the imaging camera that will support first-light testing for the IRAIT telescope. IRAIT (International Robotic Antarctic Infrared Telescope) is a 80 cm class telescope to be installed at Dome C, a site located at 3200m height on the Antarctic plateau. AMICA, placed at the telescope Nasmyth focus, is a dual feed infrared camera: a medium infrared optical beam designed to be operated by a Si:As detector array covering the range 5-28 mu m, and a near infrared optical beam operated by a In:Sb detector array covering the spectral range down to J band. A specific goal of this project, having to face the prohibitive Antarctic environment imposing strong limits to human and equipments operation, is the need to implement robotic and remotely controlled procedures for the telescope and its instrumentation. This will impose well integrated and cooperative control systems, besides the accurate insulation for all the equipment exposed to the extreme environmental conditions of Dome C (T -90, p 640 mbar). In the present paper we will provide an overview of the progress so far obtained in the construction and testing of the AMICA control system.</t>
  </si>
  <si>
    <t>[Bortoletto, F.; Magrin, D.; Bonoli, C.; D'Alessandro, M.; Fantinel, D.] INAF Osservatorio Astron Padova, Padua, Italy; [Di Rico, G.; Giuliani, C.; di Cianno, A.] INAF Osservatorio Astron Teramo, Padua, Italy; [Corcione, L.] INAF Osservatorio Astron Torino, Padua, Italy</t>
  </si>
  <si>
    <t>Istituto Nazionale Astrofisica (INAF); Istituto Nazionale Astrofisica (INAF)</t>
  </si>
  <si>
    <t>Bortoletto, F (corresponding author), INAF Osservatorio Astron Padova, Padua, Italy.</t>
  </si>
  <si>
    <t>favio.bortoletto@oapd.inaf.it</t>
  </si>
  <si>
    <t>Fantinel, Daniela/0000-0001-8152-9480; d'alessandro, maurizio/0000-0002-8318-0988; Magrin, Demetrio/0000-0003-0312-313X; corcione, leonardo/0000-0002-6497-5881; Di Rico, Gianluca/0000-0002-5213-8269</t>
  </si>
  <si>
    <t>70143A</t>
  </si>
  <si>
    <t>10.1117/12.789086</t>
  </si>
  <si>
    <t>WOS:000259917700109</t>
  </si>
  <si>
    <t>Lundock, R; Ichikawa, T</t>
  </si>
  <si>
    <t>Lundock, Ramsey; Ichikawa, Takashi</t>
  </si>
  <si>
    <t>AIR-C: Antarctic infra-red camera</t>
  </si>
  <si>
    <t>Antarctica; Infra-Red</t>
  </si>
  <si>
    <t>This paper details the design process for AIR-C, the Antarctic Infra-Red Camera, for use with Tohoku University's 40 cm Antarctic telescope. The camera will also be compatible with the planned 2 meter class Japanese telescope at Dome F. First, we review of the design requirements which shaped the development process. The optical chain receives the most detailed discussion. The other components will be discussed briefly. The effect of cryogenic temperatures on the lenses was taken into account during the design process. AIR-C's performance is predicted. Finally, we discuss the scientific potential for a small Antarctic telescope.</t>
  </si>
  <si>
    <t>[Lundock, Ramsey; Ichikawa, Takashi] Tohoku Univ, Astron Inst, Aoba Ku, Sendai, Miyagi 9808578, Japan</t>
  </si>
  <si>
    <t>Tohoku University</t>
  </si>
  <si>
    <t>Lundock, R (corresponding author), Tohoku Univ, Astron Inst, Aoba Ku, Sendai, Miyagi 9808578, Japan.</t>
  </si>
  <si>
    <t>70142O</t>
  </si>
  <si>
    <t>10.1117/12.786509</t>
  </si>
  <si>
    <t>WOS:000259917700090</t>
  </si>
  <si>
    <t>Saunders, W; Gillingham, P; McGrath, A; Haynes, R; Storey, J; Lawrence, J; Burton, M; Jenkins, C; Mora, A</t>
  </si>
  <si>
    <t>Saunders, Will; Gillingham, Peter; McGrath, Andrew; Haynes, Roger; Storey, John; Lawrence, Jon; Burton, Michael; Jenkins, Charles; Mora, Alcione</t>
  </si>
  <si>
    <t>Proposed instrumentation for PILOT</t>
  </si>
  <si>
    <t>instrumentation; Antarctica; wide-field; optical; infrared; tip-tilt; fast guiding</t>
  </si>
  <si>
    <t>DOME-C; SKY BRIGHTNESS; ANTARCTICA</t>
  </si>
  <si>
    <t>PILOT (the Pathfinder for an International Large Optical Telescope) is a proposed Australian/European optical/infrared telescope for Dome C on the Antarctic Plateau, with target first light in 2012. The proposed telescope is 2.4 m diameter, with overall focal ratio f/10, and a 1 degree field-of-view. In median seeing conditions, it delivers 0.3 FWHM wide-field image quality, from 0.7-2.5 microns. In the best quartile of conditions, it delivers diffraction-limited imaging down to 1 micron, or even less with lucky imaging. The areas where PILOT offers the greatest advantages over existing ground-based telescopes are (a) very high resolution optical imaging, (b) high resolution wide-field optical imaging, and (c) all wide-field thermal infrared imaging. The proposed first generation instrumentation consists of (a) a fast, low-noise camera for diffraction-limited optical lucky imaging; (b) a gigapixel optical camera for seeing-limited imaging over a 1 degree field; (c) a 4K x 4K near-infrared (1-5 micron) camera with both wide-field and diffraction-limited modes; and (d) a double-beamed mid-infrared (7-40 micron) imaging spectrograph.</t>
  </si>
  <si>
    <t>[Saunders, Will; Gillingham, Peter; McGrath, Andrew; Haynes, Roger] Anglo Australian Observ, POB 196, Epping, NSW 1710, Australia; [Storey, John; Lawrence, Jon; Burton, Michael; Jenkins, Charles; Mora, Alcione] Univ Auton Madrid, Madrid, Spain</t>
  </si>
  <si>
    <t>Saunders, W (corresponding author), Anglo Australian Observ, POB 196, Epping, NSW 1710, Australia.</t>
  </si>
  <si>
    <t>will@aaoepp.aao.gov.au</t>
  </si>
  <si>
    <t>Burton, Michael/0000-0001-7289-1998; Lawrence, Jon/0000-0002-6998-6993</t>
  </si>
  <si>
    <t>70144N</t>
  </si>
  <si>
    <t>10.1117/12.788858</t>
  </si>
  <si>
    <t>WOS:000259917700154</t>
  </si>
  <si>
    <t>Cui, XQ; Yuan, XY; Gong, XF</t>
  </si>
  <si>
    <t>Stepp, LM; Gilmozzi, R</t>
  </si>
  <si>
    <t>Cui, Xiangqun; Yuan, Xiangyan; Gong, Xuefei</t>
  </si>
  <si>
    <t>Antarctic Schmidt Telescopes (AST3) for DomeA</t>
  </si>
  <si>
    <t>GROUND-BASED AND AIRBORNE TELESCOPES II, PTS 1-3</t>
  </si>
  <si>
    <t>Schmidt telescope; Antarctic astronomy</t>
  </si>
  <si>
    <t>Since Chinese scientific expedition team first arrived Dome A in 10, Jan., 2005, meteorological data have been obtained from this highest point of the Antarctic Plateau. It is likely that Dome A can be the best site for ground-based astronomy. Chinese astronomy community, led by Chinese Center for Antarctic Astronomy, is part of an international effort to survey Dome A for astronomical observations, and has built 4 small telescopes (CSTAR) which have been installed at Dome A in 2008. We report here a more ambitious goal: three Antarctic Schmidt telescopes (AST3) with aperture 50 cm each and the modified Schmidt system (about half shorter tube comparing with normal one) are being constructed, and will be installed for observation at Dome A in Jan., 2010. AST3 will be used for the discovery and exploration of astrophysical transients. This paper presents the technical configuration, design of these Schmidt telescopes, and study on technical challenges for telescope at such a special place with extreme environment on the earth.</t>
  </si>
  <si>
    <t>[Cui, Xiangqun; Yuan, Xiangyan; Gong, Xuefei] Chinese Acad Sci, Nanjing Inst Astron Opt &amp;Technol, Natl Astron Observ, Nanjing 210042, Peoples R China</t>
  </si>
  <si>
    <t>Cui, XQ (corresponding author), Chinese Acad Sci, Nanjing Inst Astron Opt &amp;Technol, Natl Astron Observ, 188 Bancang St, Nanjing 210042, Peoples R China.</t>
  </si>
  <si>
    <t>xcui@niaot.ac.cn</t>
  </si>
  <si>
    <t>978-0-8194-7222-9</t>
  </si>
  <si>
    <t>70122D</t>
  </si>
  <si>
    <t>10.1117/12.789458</t>
  </si>
  <si>
    <t>Astronomy &amp; Astrophysics; Instruments &amp; Instrumentation; Optics</t>
  </si>
  <si>
    <t>BIK73</t>
  </si>
  <si>
    <t>WOS:000260430300084</t>
  </si>
  <si>
    <t>Durand, GA; Minier, V; Lagage, PO; Daddi, E; El Khouloudi, S; Schneider-Bontemps, N; Talvard, M; Veyssière, C; Durand, GA; Walter, C; Sabbatini, L; Challita, Z; Storey, JWV; Calisse, P; Pierre, A; Busso, M</t>
  </si>
  <si>
    <t>Durand, Gilles Alphonse; Minier, Vincent; Lagage, Pierre-Olivier; Daddi, Emanuele; El Khouloudi, Samir; Schneider-Bontemps, Nicola; Talvard, Michel; Veyssiere, Christian; Durand, Gilles Andre; Walter, Christian; Sabbatini, Lucia; Challita, Zalpha; Storey, John W. V.; Calisse, Paolo; Pierre, Alain; Busso, Maurizio</t>
  </si>
  <si>
    <t>Toward a large telescope facility for submm/FIR astronomy at Dome C</t>
  </si>
  <si>
    <t>submillimetre astronomy; Antarctica; Dome C; SEFIRAA; ARENA</t>
  </si>
  <si>
    <t>Submillimetre astronomy is the prime technique to unveil the birth and early evolution of stars and galaxies in the local and distant Universe. Preliminary meteorological studies and atmospheric transmission models tend to demonstrate that Dome C might offer atmosphere conditions that open the 200-mu m atmospheric windows, and could potentially be a site for a large ground-based telescope facility. However, Antarctic climate conditions might also severely impact and deform any telescope mirror and hardware. We present prerequisite conditions and their associate experiments for defining a large telescope facility for submillimetre astronomy at Dome C: (1) Whether the submm/THz atmospheric windows open from 200 mu m during a large and stable fraction of time; (2) The knowledge of thermal gradient and (3) icing formation and their impact on a telescope mirror and hardware. This paper will present preliminary results on current experiments that measure icing, thermal gradient and sky opacity at Dome C. We finally discuss a possible roadmap toward the deployment of a large telescope facility at Dome C.</t>
  </si>
  <si>
    <t>[Durand, Gilles Alphonse; Minier, Vincent; Lagage, Pierre-Olivier; Daddi, Emanuele; El Khouloudi, Samir; Schneider-Bontemps, Nicola; Talvard, Michel] CEA, DSM, IRFU, Serv Astrophys, F-91191 Gif Sur Yvette, France; [Veyssiere, Christian; Durand, Gilles Andre; Walter, Christian] CEA, DSM, IRFU, SIS, Gif Sur Yvette, France; [Sabbatini, Lucia] Univ Roma La Sapienza, Rome, Italy; [Storey, John W. V.] Univ New South Wales, Sch Phys, Sydney, NSW 2052, Australia; [Calisse, Paolo] Cardiff Univ, Sch Phys &amp; Astron, Cardiff, S Glam, Wales; [Pierre, Alain] IPEV, F-29280 Plouzane, France; [Busso, Maurizio] Univ Perugia, Dipartimento Fis, Perugia, Italy</t>
  </si>
  <si>
    <t>CEA; Universite Paris Saclay; CEA; Universite Paris Saclay; Sapienza University Rome; University of New South Wales Sydney; Cardiff University; University of Perugia</t>
  </si>
  <si>
    <t>Durand, GA (corresponding author), CEA, DSM, IRFU, Serv Astrophys, F-91191 Gif Sur Yvette, France.</t>
  </si>
  <si>
    <t>durandgs@cea.fr; vincent.minier@cea.fr</t>
  </si>
  <si>
    <t>Walter, Christian/GZG-8888-2022; Daddi, Emanuele/D-1649-2012; Busso, Maurizio Maria/K-7075-2015</t>
  </si>
  <si>
    <t>Daddi, Emanuele/0000-0002-3331-9590; Busso, Maurizio Maria/0000-0001-8944-5820</t>
  </si>
  <si>
    <t>70122B</t>
  </si>
  <si>
    <t>10.1117/12.789337</t>
  </si>
  <si>
    <t>WOS:000260430300082</t>
  </si>
  <si>
    <t>Hagelin, S; Masciadri, E; Lascaux, F; Stoesz, J</t>
  </si>
  <si>
    <t>Hagelin, Susanna; Masciadri, Elena; Lascaux, Franck; Stoesz, Jeff</t>
  </si>
  <si>
    <t>Comparison of the atmospheric properties above Dome A, Dome C and the South Pole</t>
  </si>
  <si>
    <t>site testing; atmospheric effects; turbulence</t>
  </si>
  <si>
    <t>ANTARCTIC PLATEAU; TURBULENCE</t>
  </si>
  <si>
    <t>The atmospheric properties above three sites on the Internal Antarctic Plateau are investigated for astronomical applications calculating the monthly median of the analysis-data from ECMWF (European Centre for Medium-Range Weather Forecasts) for an entire year (2005) thus covering all seasons. Radiosoundings extended on a yearly time scale from Dome C and the South Pole are used to verify the reliability of the analyses in the free atmosphere and to study the wind speed in the first 100 m as the analysis-data are not optimized for this altitude-range. The wind speed in the free atmosphere is obtained from the ECMWF analyses from all three sites. It appears that the strength of the wind speed in the upper atmosphere in winter is correlated to the distance of the site from the centre of the polar high. The Richardson number is employed to investigate the stability of the free atmosphere and, consequently, the probability to trigger thermodynamic instabilities above the three sites. We find that, in a large majority of the cases, the free atmosphere over the Internal Antarctic Plateau is more stable than at mid-latitude sites. Given these data we can obtain a ranking of the three sites with respect to wind speed, in the free atmosphere as well as in the surface layer, and with respect to the stability of the atmosphere, using the Richardson number.</t>
  </si>
  <si>
    <t>[Hagelin, Susanna; Masciadri, Elena; Lascaux, Franck; Stoesz, Jeff] Osserv Astrofis Arcetri, INAF, I-50125 Florence, Italy</t>
  </si>
  <si>
    <t>Hagelin, S (corresponding author), Osserv Astrofis Arcetri, INAF, Largo E Fermi 5, I-50125 Florence, Italy.</t>
  </si>
  <si>
    <t>hagelin@arcetri.astro.it</t>
  </si>
  <si>
    <t>Masciadri, Elena/AAC-5611-2021; Lascaux, Franck/AAK-4581-2021; Hagelin, Susanna/AAA-2956-2021</t>
  </si>
  <si>
    <t>Masciadri, Elena/0000-0002-0450-4092; Hagelin, Susanna/0000-0003-3167-3016; Lascaux, Franck/0000-0002-0099-0740</t>
  </si>
  <si>
    <t>70124A</t>
  </si>
  <si>
    <t>10.1117/12.787333</t>
  </si>
  <si>
    <t>WOS:000260430300147</t>
  </si>
  <si>
    <t>Hengst, S; Allen, GR; Ashley, MCB; Everett, JR; Lawrence, JS; Luong-Van, DM; Storey, JWV</t>
  </si>
  <si>
    <t>Hengst, Shane; Allen, Graham R.; Ashley, Michael C. B.; Everett, Jon R.; Lawrence, Jon S.; Luong-Van, Daniel M.; Storey, John W. V.</t>
  </si>
  <si>
    <t>PLATO Power-a robust, low environmental impact power generation system for the Antarctic plateau</t>
  </si>
  <si>
    <t>Diesel engine; remote power generation; Antarctica; Dome A</t>
  </si>
  <si>
    <t>PLATO (PLATeau Observatory) is the third-generation astronomical site-testing laboratory designed by the University of New South Wales. This facility is operating autonomously to collect both scientific and site-testing data from Dome A, the highest point on the Antarctic plateau, at an elevation of 4093m. We describe the power generation and management system of PLATO. Two redundant arrays of solar panels and a multiply-redundant set of small diesel engines are intended to provide 1-2kW of electrical power for a full year without refueling or other intervention. An environmental chamber has been constructed to study the high-altitude performance of the diesel engines, and suitable cold-starting procedures and engine lubrication techniques have been developed. PLATO's power system is an innovative solution with wide applicability to small astronomical facilities on the Antarctic plateau, offering minimum environmental impact and requiring minimal human intervention.</t>
  </si>
  <si>
    <t>[Hengst, Shane; Ashley, Michael C. B.; Everett, Jon R.; Lawrence, Jon S.; Luong-Van, Daniel M.; Storey, John W. V.] Univ New South Wales, Sch Phys, Sydney, NSW 2052, Australia; [Allen, Graham R.] Solar Mobil Pty Ltd, Epping, NSW 2121, Australia</t>
  </si>
  <si>
    <t>Hengst, S (corresponding author), Univ New South Wales, Sch Phys, Sydney, NSW 2052, Australia.</t>
  </si>
  <si>
    <t>shane@phys.unsw.edu.au</t>
  </si>
  <si>
    <t>Australian Research Council</t>
  </si>
  <si>
    <t>Australian Research Council(Australian Research Council)</t>
  </si>
  <si>
    <t>This research is supported by the Australian Research Council. We thank the UNSW School of Mechanical and Manufacturing Engineering for access to the Internal Combustion Laboratory. Hatz Australia, and in particular Sami Almogawish, Ian OCallaghan and Tissa Pathiratna, provided us with invaluable assistance and generously shared their deep understanding of diesel engines with us. Apollo Solar kindly provided us with information on the T80 Maximum Power Point Trackers that was vital to the development of our remote monitoring scheme. Jason Allen was responsible for many of the refinements to the oil circulation system that proved essential to the longevity of the engines. One of the electrical load banks was generously lent to us by Graeme Arnold and Bob Bell from Switchgear Commissioning &amp; Maintenance Pty Ltd and the other by Ian Davis from Eaton Electric Systems Pty Ltd. The Astronomical Society of Australia provided partial funding for SH to attend the SPIE meeting.</t>
  </si>
  <si>
    <t>70124E</t>
  </si>
  <si>
    <t>10.1117/12.788478</t>
  </si>
  <si>
    <t>WOS:000260430300151</t>
  </si>
  <si>
    <t>Kulesa, CA; Walker, CK; Schein, M; Golish, D; Tothill, N; Siegel, P; Weinreb, S; Jones, G; Bardin, J; Jacobs, K; Martin, CL; Storey, J; Ashley, M; Lawrence, J; Luong-Van, D; Everett, J; Wang, L; Feng, L; Zhu, Z; Yan, J; Yang, J; Zhang, XG; Cui, X; Yuan, X; Hu, J; Xu, Z; Jiang, Z; Yang, H; Li, Y; Sun, B; Qin, W; Shang, Z</t>
  </si>
  <si>
    <t>Kulesa, C. A.; Walker, C. K.; Schein, M.; Golish, D.; Tothill, N.; Siegel, P.; Weinreb, S.; Jones, G.; Bardin, J.; Jacobs, K.; Martin, C. L.; Storey, J.; Ashley, M.; Lawrence, J.; Luong-Van, D.; Everett, J.; Wang, L.; Feng, L.; Zhu, Z.; Yan, J.; Yang, J.; Zhang, X-G.; Cui, X.; Yuan, X.; Hu, J.; Xu, Z.; Jiang, Z.; Yang, H.; Li, Y.; Sun, B.; Qin, W.; Shang, Z.</t>
  </si>
  <si>
    <t>Pre-HEAT: submillimeter site testing and astronomical spectra from Dome A, Antarctica</t>
  </si>
  <si>
    <t>site testing; Antarctic astronomy; submillimeter instrumentation; terahertz spectroscopy; heterodyne receiver; interstellar medium; star formation</t>
  </si>
  <si>
    <t>Pre-HEAT is a 20 cm aperture submillimeter-wave telescope with a 660 GHz (450 micron) Schottky diode heterodyne receiver and digital FFT spectrometer for the Plateau Observatory (PLATO) developed by the University of New South Wales. In January 2008 it was deployed to Dome A, the summit of the Antarctic plateau, as part of a scientific traverse led by the Polar Research Institute of China and the Chinese Academy of Sciences. Dome A may be one of the best sites in the world for ground based Terahertz astronomy, based on the exceptionally cold, dry and stable conditions which prevail there. Pre-HEAT is measuring the 450 micron sky opacity at Dome A and mapping the Galactic Plane in the (CO)-C-13 J=6-5 line, constituting the first submillimeter measurements from Dome A. It is field-testing many of the key technologies for its namesake - a successor mission called HEAT: the High Elevation Antarctic Terahertz telescope. Exciting prospects for submillimeter astronomy from Dome A and the status of Pre-HEAT will be presented.</t>
  </si>
  <si>
    <t>[Kulesa, C. A.; Walker, C. K.; Schein, M.; Golish, D.] Univ Arizona, Tucson, AZ 85721 USA; [Tothill, N.] Univ Exeter, Exeter, Devon, England; [Siegel, P.; Weinreb, S.; Jones, G.; Bardin, J.] CALTECH, Pasadena, CA 91125 USA; [Jacobs, K.] Univ Cologne, Cologne, Germany; [Martin, C. L.] Oberlin Coll, Oberlin, OH 44074 USA; [Storey, J.; Ashley, M.; Lawrence, J.; Luong-Van, D.; Everett, J.] Univ New South Wales, Sydney, NSW, Australia; [Wang, L.] Texas A&amp;M Univ, College Stn, TX 77843 USA; [Feng, L.; Zhu, Z.; Yan, J.; Yang, J.; Zhang, X-G.] Purple Mt Observ, Nanjing, Jiangsu, Peoples R China; [Cui, X.; Yuan, X.] Nanjing Inst Astron Opt Technol, Nanjing, Jiangsu, Peoples R China; [Hu, J.; Xu, Z.; Jiang, Z.] Natl Astron Observ China, Beijing, Peoples R China; [Yang, H.; Li, Y.; Sun, B.; Qin, W.] Polar Res Inst China, Shanghai, Peoples R China; [Shang, Z.] Tianjin Normal Univ, Tianjin, Peoples R China</t>
  </si>
  <si>
    <t>University of Arizona; University of Exeter; California Institute of Technology; University of Cologne; University System of Ohio; Oberlin College; University of New South Wales Sydney; Texas A&amp;M University System; Texas A&amp;M University College Station; Chinese Academy of Sciences; Nanjing Institute of Astronomical Optics &amp; Technology, NAOC, CAS; Purple Mountain Observatory, CAS; Chinese Academy of Sciences; Nanjing Institute of Astronomical Optics &amp; Technology, NAOC, CAS; Chinese Academy of Sciences; National Astronomical Observatory, CAS; Polar Research Institute of China; Tianjin Normal University</t>
  </si>
  <si>
    <t>Kulesa, CA (corresponding author), Univ Arizona, Tucson, AZ 85721 USA.</t>
  </si>
  <si>
    <t>Tothill, Nicholas/O-2682-2019; Cabeza-Lainez, Joseph/Q-3170-2018; Tothill, Nicholas/M-6379-2016</t>
  </si>
  <si>
    <t>Cabeza-Lainez, Joseph/0000-0003-1763-9452; Lawrence, Jon/0000-0002-6998-6993; Tothill, Nicholas/0000-0002-9931-5162; Martin, Christopher/0000-0002-8078-8859; Bardin, Joseph/0000-0002-6523-6730; Ashley, Michael/0000-0003-1412-2028</t>
  </si>
  <si>
    <t>US National Science Foundation under the auspices of Small Grants for Exploratory Research [ANT-0735854]</t>
  </si>
  <si>
    <t>US National Science Foundation under the auspices of Small Grants for Exploratory Research</t>
  </si>
  <si>
    <t>The authors wish to thank all members of the Polar Research Institute of China's 2008 Dome A expedition for their heroic efforts in reaching the summit and for providing invaluable assistance to the expedition astronomers in setting up the PLATO observatory and its attendant instruments. Construction of Pre-HEAT was financially supported from the US National Science Foundation under the auspices of Small Grants for Exploratory Research (ANT-0735854).</t>
  </si>
  <si>
    <t>10.1117/12.789741</t>
  </si>
  <si>
    <t>WOS:000260430300146</t>
  </si>
  <si>
    <t>Lascaux, F; Masciadri, E; Hagelin, S; Stoesz, J</t>
  </si>
  <si>
    <t>Lascaux, Franck; Masciadri, Elena; Hagelin, Susanna; Stoesz, Jeff</t>
  </si>
  <si>
    <t>MESO-NH SIMULATIONS OF THE ATMOSPHERIC FLOW ABOVE THE INTERNAL ANTARCTIC PLATEAU</t>
  </si>
  <si>
    <t>Atmospheric effects; optical turbulence; mesoscale model; site testing</t>
  </si>
  <si>
    <t>OPTICAL TURBULENCE; DOME-C; NUMERICAL-MODEL; PARAMETERIZATION</t>
  </si>
  <si>
    <t>Mesoscale model such as Meso-Nh have proven to be highly reliable in reproducing 3D maps of optical turbulence (see Refs. 1, 2, 3, 4) above mid-latitude astronomical sites. These last years ground-based astronomy has been looking towards Antarctica. Especially its summits and the Internal Continental Plateau where the optical turbulence appears to be confined in a shallow layer close to the icy surface. Preliminary measurements have so far indicated pretty good value for the seeing above 30-35 m: 0.36 '' (see Ref. 5) and 0.27 '' (see Refs. 6, 7) at Dome C. Site testing campaigns are however extremely expensive, instruments provide only local measurements and atmospheric modelling might represent a step ahead towards the search and selection of astronomical sites thanks to the possibility to reconstruct 3D C(N)(2) maps over a surface of several kilometers. The Antarctic Plateau represents therefore an important benchmark test to evaluate the possibility to discriminate sites on the same plateau. Our group(8) has proven that the analyses from the ECMWF global model do not describe with the required accuracy the antarctic boundary and surface layer in the plateau. A better description could be obtained with a mesoscale meteorological model. In this contribution we present the progress status report of numerical simulations (including the optical turbulence - C(N)(2)) obtained with Meso-Nh above the internal Antarctic Plateau. Among the topic attacked: the influence of different configurations of the model (low and high horizontal resolution), use of the grid-nesting interactive technique, forecasting of the optical turbulence during some winter nights.</t>
  </si>
  <si>
    <t>[Lascaux, Franck; Masciadri, Elena; Hagelin, Susanna; Stoesz, Jeff] Osserv Astrofis Arcetri, INAF, I-50125 Florence, Italy</t>
  </si>
  <si>
    <t>Lascaux, F (corresponding author), Osserv Astrofis Arcetri, INAF, 5 Lgo E Fermi, I-50125 Florence, Italy.</t>
  </si>
  <si>
    <t>lascaux@arcetri.astro.it; masciadri@arcetri.astro.it</t>
  </si>
  <si>
    <t>Hagelin, Susanna/AAA-2956-2021; Masciadri, Elena/AAC-5611-2021; Lascaux, Franck/AAK-4581-2021</t>
  </si>
  <si>
    <t>Hagelin, Susanna/0000-0003-3167-3016; Masciadri, Elena/0000-0002-0450-4092; Lascaux, Franck/0000-0002-0099-0740</t>
  </si>
  <si>
    <t>70124D</t>
  </si>
  <si>
    <t>10.1117/12.787571</t>
  </si>
  <si>
    <t>Green Published, Green Submitted</t>
  </si>
  <si>
    <t>WOS:000260430300150</t>
  </si>
  <si>
    <t>Lawrence, JS; Allen, GR; Ashley, MCB; Bonner, C; Bradley, S; Cui, X; Everett, JR; Feng, L; Gong, X; Hengst, S; Hu, J; Jiang, Z; Kulesa, CA; Li, Y; Luong-Van, D; Moore, AM; Pennypacker, C; Qin, W; Riddle, R; Shang, Z; Storey, JWV; Sun, B; Suntzeff, N; Tothill, NFH; Travouillon, T; Walker, CK; Wang, L; Yan, J; Yang, J; Yang, H; York, D; Yuan, X; Zhang, XG; Zhang, Z; Zhou, X; Zhu, Z</t>
  </si>
  <si>
    <t>Lawrence, J. S.; Allen, G. R.; Ashley, M. C. B.; Bonner, C.; Bradley, S.; Cui, X.; Everett, J. R.; Feng, L.; Gong, X.; Hengst, S.; Hu, J.; Jiang, Z.; Kulesa, C. A.; Li, Y.; Luong-Van, D.; Moore, A. M.; Pennypacker, C.; Qin, W.; Riddle, R.; Shang, Z.; Storey, J. W. V.; Sun, B.; Suntzeff, N.; Tothill, N. F. H.; Travouillon, T.; Walker, C. K.; Wang, L.; Yan, J.; Yang, J.; Yang, H.; York, D.; Yuan, X.; Zhang, X. G.; Zhang, Z.; Zhou, X.; Zhu, Z.</t>
  </si>
  <si>
    <t>The PLATO Antarctic site testing observatory</t>
  </si>
  <si>
    <t>site testing; Antarctic astronomy</t>
  </si>
  <si>
    <t>DOME-C; SOUTH-POLE; ATMOSPHERIC-TURBULENCE; SKY BRIGHTNESS; INSTRUMENT; ASTRONOMY</t>
  </si>
  <si>
    <t>Over a decade of site testing in Antarctica has shown that both South Pole and Dome C are exceptional sites for astronomy, with certain atmospheric conditions superior to those at existing mid-latitude sites. However, the highest point on the Antarctic plateau, Dome A, is expected to experience colder atmospheric temperatures, lower wind speeds, and a turbulent boundary layer that is confined closer to the ground. The Polar Research Institute of China, who were the first to visit the Dome A site in January 2005, plan to establish a permanently manned station there within the next decade. As part of this process they conducted a second expedition to Dome A, arriving via overland traverse in January 2008. This traverse involved the delivery and installation of the PLATeau Observatory (PLATO). PLATO is an automated self-powered astrophysical site testing observatory, developed by the University of New South Wales. A number of international institutions have contributed site testing instruments measuring turbulence, optical sky background, and sub-millimetre transparency. In addition, a set of science instruments are providing wide-field high time resolution optical photometry and terahertz imaging of the Galaxy. We present here an overview of the PLATO system design and instrumentation suite.</t>
  </si>
  <si>
    <t>[Lawrence, J. S.; Ashley, M. C. B.; Bonner, C.; Everett, J. R.; Hengst, S.; Luong-Van, D.; Storey, J. W. V.] Univ New S Wales, Sydney, NSW 2052, Australia</t>
  </si>
  <si>
    <t>Lawrence, JS (corresponding author), Univ New S Wales, Sydney, NSW 2052, Australia.</t>
  </si>
  <si>
    <t>jl@phys.unsw.edu.au</t>
  </si>
  <si>
    <t>Riddle, Reed/0000-0002-0387-370X; Moore, Anna/0000-0002-2894-6936; Travouillon, Tony/0000-0001-9304-6718; Bradley, Stuart/0000-0003-4441-7791; Lawrence, Jon/0000-0002-6998-6993; Tothill, Nicholas/0000-0002-9931-5162; Ashley, Michael/0000-0003-1412-2028</t>
  </si>
  <si>
    <t>10.1117/12.787166</t>
  </si>
  <si>
    <t>WOS:000260430300078</t>
  </si>
  <si>
    <t>Moore, A; Allen, G; Aristidi, E; Ashley, M; Bedding, T; Beichman, C; Briguglio, R; Busso, M; Candidi, M; Ciardi, D; Cui, XQ; Cutispoto, G; Distefano, E; Espy, P; Everett, J; Feng, LL; Hu, JY; Jiang, ZJ; Kenyon, S; Kulesa, C; Lawrence, J; Le Roux, B; Li, YS; Luong-Van, D; Phillips, A; Qin, WJ; Ragazzoni, R; Riddle, R; Sabbatini, L; Salinari, P; Saunders, W; Shang, ZH; Stello, D; Storey, J; Sun, B; Suntzeff, N; Taylor, M; Tosti, G; Tothill, N; Travouillon, T; Van Belle, G; Von Braun, K; Wang, LF; Yan, J; Yang, HG; Yuan, XY; Zhenxi, Z; Zhou, X</t>
  </si>
  <si>
    <t>Moore, Anna; Allen, Graham; Aristidi, Eric; Ashley, Michael; Bedding, Tim; Beichman, Chas; Briguglio, Runa; Busso, Maurizio; Candidi, Maurizio; Ciardi, David; Cui, Xiangqun; Cutispoto, Giuseppe; Distefano, Elisa; Espy, Patrick; Everett, Jon; Feng, Longlong; Hu, Jingyao; Jiang, Zhaoji; Kenyon, Suzanne; Kulesa, Craig; Lawrence, Jon; Le Roux, Brice; Li, Yuanshen; Luong-Van, Daniel; Phillips, Andre; Qin, Weijian; Ragazzoni, Roberto; Riddle, Reed; Sabbatini, Lucia; Salinari, Piero; Saunders, Will; Shang, Zhaohui; Stello, Dennis; Storey, John; Sun, Bo; Suntzeff, Nicolas; Taylor, Melinda; Tosti, Gino; Tothill, Nick; Travouillon, Tony; Van Belle, Gerard; Von Braun, Kaspar; Wang, Lifan; Yan, Jun; Yang, Huigen; Yuan, Xiangyan; Zhenxi, Zhu; Zhou, Xu</t>
  </si>
  <si>
    <t>Gattini: a multisite campaign for the measurement of sky brightness in Antarctica</t>
  </si>
  <si>
    <t>Antarctica; optical sky brightness; site testing cameras; Gattini</t>
  </si>
  <si>
    <t>We present the Gattini project: a multisite campaign to measure the optical sky properties above the two high altitude Antarctic astronomical sites of Dome C and Dome A. The Gattini-DomeC project, part of the IRAIT site testing campaign and ongoing since January 2006, consists of two cameras for the measurement of optical sky brightness, large area cloud cover and auroral detection above the DomeC site, home of the French-Italian Concordia station. The cameras are transit in nature and are virtually identical except for the nature of the lenses. The cameras have operated successfully throughout the past two Antarctic winter seasons and here we present the first results obtained from the returned 2006 dataset. The Gattini-DomeA project will place a similar site testing facility at the highest point on the Antarctic plateau, Dome A, with observations commencing in 2008. The project forms a small part of a much larger venture coordinated by the Polar Research Institute of China as part of the International Polar Year whereby an automated site testing facility called PLATO will be traversed into the DomeA site. The status of this exciting and ambitious project with regards to the Gattini-DomeA cameras will be presented.</t>
  </si>
  <si>
    <t>[Moore, Anna; Travouillon, Tony] CALTECH, Caltech Opt Observ, Pasadena, CA 91106 USA; [Allen, Graham] Solar Mobility, Epping, NSW 2121, Australia; [Aristidi, Eric] Univ Nice, LUAN, F-06108 Nice, France; [Ashley, Michael; Kenyon, Suzanne; Luong-Van, Daniel; Phillips, Andre; Taylor, Melinda] Univ New South Wales, Sch Phys, Sydney, NSW 2052, Australia; [Bedding, Tim; Stello, Dennis] Univ Sydney, Sch Phys, Sydney, NSW 2000, Australia; [Beichman, Chas] CALTECH, Jet Prop Lab, Pasadena, CA 91109 USA; [Briguglio, Runa; Sabbatini, Lucia] Univ Roma La Sapienza, Dipartimento Fis, Rome, Italy; [Busso, Maurizio; Tosti, Gino] Univ Perugia, Dipartimento Fis, I-06123 Perugia, Italy; [Candidi, Maurizio] INAF, IFSI, Rome, Italy; [Ciardi, David; Von Braun, Kaspar] Michelson Sci Ctr, Pasadena, CA USA; [Cui, Xiangqun; Yuan, Xiangyan] Natl Astron Observ, Nanjing Inst Astron Opt &amp; Technol, Nanjing, Jiangsu, Peoples R China; [Cutispoto, Giuseppe; Distefano, Elisa; Van Belle, Gerard] INAF Osserv Astrofis Catania, I-95123 Catania, Italy; [Espy, Patrick] British Antarct Surv, Phys Sci Div, Cambridge, England; [Feng, Longlong; Wang, Lifan; Yan, Jun; Zhenxi, Zhu] Purple Mountain Observ, Nanjing 210008, Peoples R China; [Hu, Jingyao; Jiang, Zhaoji; Zhou, Xu] Chinese Acad Sci, Natl Astron Observ, Beijing 100012, Peoples R China; [Kulesa, Craig] Univ Arizona, Steward Observ, Tucson, AZ 85721 USA; [Le Roux, Brice] OAMP LAM, Marseille 4, France; [Qin, Weijian; Sun, Bo; Yang, Huigen] Polar Res Inst China, Pudong 200129, Shanghai, Peoples R China; [Ragazzoni, Roberto] Osserv Astron Padova, INAF, Padua, Italy; [Li, Yuanshen; Riddle, Reed] CALTECH, TMT Project, Pasadena, CA 91106 USA; [Salinari, Piero] Osserv Astrofis Arcetri, INAF, I-50125 Florence, Italy; [Saunders, Will] Anglo Australian Observ, Coonabarabran, NSW 2122, Australia; [Shang, Zhaohui] Tianjin Normal Univ, Dept Phys, Tianjin 300074, Peoples R China; [Suntzeff, Nicolas] Natl Opt Astron Observ, Cerro Tololo Inter Amer Observ, La Serena, Chile; [Suntzeff, Nicolas] Texas A&amp;M Univ, Dept Phys, College Stn, TX 77843 USA; [Tothill, Nick; Van Belle, Gerard] Univ Exeter, Sch Phys, Exeter, Devon, England; [Van Belle, Gerard] European Southern Observ, D-85748 Garching, Germany</t>
  </si>
  <si>
    <t>California Institute of Technology; Universite Cote d'Azur; University of New South Wales Sydney; University of Sydney; California Institute of Technology; National Aeronautics &amp; Space Administration (NASA); NASA Jet Propulsion Laboratory (JPL); Sapienza University Rome; University of Perugia; Istituto Nazionale Astrofisica (INAF); Chinese Academy of Sciences; National Astronomical Observatory, CAS; Nanjing Institute of Astronomical Optics &amp; Technology, NAOC, CAS; Istituto Nazionale Astrofisica (INAF); UK Research &amp; Innovation (UKRI); Natural Environment Research Council (NERC); NERC British Antarctic Survey; Purple Mountain Observatory, CAS; Chinese Academy of Sciences; Chinese Academy of Sciences; National Astronomical Observatory, CAS; University of Arizona; Polar Research Institute of China; Istituto Nazionale Astrofisica (INAF); University of Padua; California Institute of Technology; Istituto Nazionale Astrofisica (INAF); Tianjin Normal University; National Optical Astronomy Observatory; Texas A&amp;M University System; Texas A&amp;M University College Station; University of Exeter; European Southern Observatory</t>
  </si>
  <si>
    <t>Moore, A (corresponding author), CALTECH, Caltech Opt Observ, Pasadena, CA 91106 USA.</t>
  </si>
  <si>
    <t>Li, Yang/HPC-4054-2023; Stello, Dennis/Q-9754-2019; sun, bo/JFA-9978-2023; Bedding, Timothy/AAU-9400-2021; Li, Yuan/GXV-1310-2022; van Belle, Gerard/ABE-1321-2021; Tothill, Nicholas/O-2682-2019; Riddle, Reed/AAC-1584-2022; Tosti, Gino/E-9976-2013; Tothill, Nicholas/M-6379-2016; Busso, Maurizio Maria/K-7075-2015</t>
  </si>
  <si>
    <t>Stello, Dennis/0000-0002-4879-3519; Bedding, Timothy/0000-0001-5222-4661; van Belle, Gerard/0000-0002-8552-158X; Riddle, Reed/0000-0002-0387-370X; Tosti, Gino/0000-0002-0839-4126; Moore, Anna/0000-0002-2894-6936; Bedding, Timothy/0000-0001-5943-1460; Tothill, Nicholas/0000-0002-9931-5162; Travouillon, Tony/0000-0001-9304-6718; Aristidi, Eric/0000-0001-9886-7670; Distefano, Elisa/0000-0002-2448-2513; Briguglio, Runa/0000-0002-0495-0543; Ciardi, David/0000-0002-5741-3047; Busso, Maurizio Maria/0000-0001-8944-5820; Lawrence, Jon/0000-0002-6998-6993; Ragazzoni, Roberto/0000-0002-7697-5555</t>
  </si>
  <si>
    <t>10.1117/12.789783</t>
  </si>
  <si>
    <t>WOS:000260430300077</t>
  </si>
  <si>
    <t>Moore, AM; Martin, C; Maitless, NC; Travouillon, T</t>
  </si>
  <si>
    <t>Moore, Anna. M.; Martin, Christopher; Maitless, Noam C.; Travouillon, Tony</t>
  </si>
  <si>
    <t>ACWI: an experiment to image the Cosmic Web from Antarctica</t>
  </si>
  <si>
    <t>Antarctica; Cosmic Web Imager; IFU spectrograph; image slicer</t>
  </si>
  <si>
    <t>LY-ALPHA EMISSION; GRAVITY-WAVES; AIRGLOW; SPECTRUM; NIGHTGLOW</t>
  </si>
  <si>
    <t>The Antarctic Cosmic Web Imager (ACWI) is a dedicated 2m-class telescope specifically designed to discover and map resonance UV line emission from the Intergalactic Medium (IGM) and to explore the low surface brightness universe. IGM mapping will provide a new measurement of large-scale structure and the distribution of dark matter over a large and unique range in overdensity. The South Pole provides a location with (1) a target elevation that is constant during observation hence sees constant airmass (2) the lowest measured extinction of any ground based site (3) a low and constant ecliptic elevation and hence zodiacal emission away from the target location and (4) long duration nights yielding stable sky and instrument properties enabling the required accurate sky subtraction. These factors combined imply a sky background that is the most stable of any ground-based site, a requirement for this particular science case where the subtraction of sky background, rather than the image quality, must be exquisite. We present the baseline instrument design that is catered to perform this science case only and is not a general purpose instrument, increasing robustness and reliability.</t>
  </si>
  <si>
    <t>[Moore, Anna. M.; Martin, Christopher; Travouillon, Tony] CALTECH, 1200 E Calif Blvd, Pasadena, CA 91125 USA; [Maitless, Noam C.] Harvard Grad Sch Design, Cambridge, MA 02138 USA</t>
  </si>
  <si>
    <t>California Institute of Technology; Harvard University</t>
  </si>
  <si>
    <t>Moore, AM (corresponding author), CALTECH, 1200 E Calif Blvd, Pasadena, CA 91125 USA.</t>
  </si>
  <si>
    <t>Moore, Anna/0000-0002-2894-6936; Travouillon, Tony/0000-0001-9304-6718</t>
  </si>
  <si>
    <t>70122A</t>
  </si>
  <si>
    <t>10.1117/12.790281</t>
  </si>
  <si>
    <t>WOS:000260430300081</t>
  </si>
  <si>
    <t>Saunders, W; Gillingham, P; McGrath, A; Haynes, R; Brzeski, J; Storey, J; Lawrence, J</t>
  </si>
  <si>
    <t>Saunders, Will; Gillingham, Peter; McGrath, Andrew; Haynes, Roger; Brzeski, Jurek; Storey, John; Lawrence, Jon</t>
  </si>
  <si>
    <t>PILOT: a wide-field telescope for the Antarctic plateau</t>
  </si>
  <si>
    <t>telescopes; Antarctica; wide-field; optical; infrared</t>
  </si>
  <si>
    <t>PILOT (the Pathfinder for an International Large Optical Telescope) is a proposed Australian/European optical/infrared telescope for Dome C on the Antarctic Plateau, with target first light in 2012. The telescope is 2.4m diameter, with overall focal ratio f/10, and a I degree field-of-view. It is mounted on a 30m tower to get above most of the turbulent surface layer, and has a tip-tilt secondary for fast guiding. In median seeing conditions, it delivers 0.3 FWHM wide-field image quality, from 0.7-2.5 microns. In the best quartile of conditions, it delivers diffraction-limited imaging down to I micron, or even less with lucky imaging. The major challenges have been (a) preventing frost-laden external air reaching the optics, (b) overcoming residual surface layer turbulence, (c) keeping mirror, telescope and dome seeing to acceptable levels in the presence of large temperature variations with height and time, (d) designing optics that do justice to the site conditions. The most novel feature of the design is active thermal and humidity control of the enclosure, to closely match the temperature of external air while preventing its ingress.</t>
  </si>
  <si>
    <t>[Saunders, Will; Gillingham, Peter; McGrath, Andrew; Haynes, Roger; Brzeski, Jurek] Anglo Australian Observ, POB 196, Epping, NSW 1710, Australia; [Storey, John; Lawrence, Jon] Univ New S Wales, Sch Phys, Sydney, NSW 2052, Australia</t>
  </si>
  <si>
    <t>Lawrence, Jon/0000-0002-6998-6993</t>
  </si>
  <si>
    <t>70124F</t>
  </si>
  <si>
    <t>10.1117/12.788651</t>
  </si>
  <si>
    <t>WOS:000260430300152</t>
  </si>
  <si>
    <t>Steinbring, E; Leckie, B; Welle, P; Hardy, T; Cole, B; Bayne, D; Croll, B; Walker, DE; Carlberg, RG; Fahlman, GG; Wallace, B; Hickson, P</t>
  </si>
  <si>
    <t>Steinbring, Eric; Leckie, Brian; Welle, Paul; Hardy, Tim; Cole, Bruce; Bayne, Dell; Croll, Bryce; Walker, David E.; Carlberg, Raymond G.; Fahlman, Gregory G.; Wallace, Brad; Hickson, Paul</t>
  </si>
  <si>
    <t>Inuksuit: robotic astronomical site-testing stations in the Canadian High Arctic</t>
  </si>
  <si>
    <t>site testing; Arctic</t>
  </si>
  <si>
    <t>Coastal mountains at Canada's northern tip possess many of the desirable properties that make the Antarctic glacial plateau attractive for astronomy: they are cold, high, dry, and in continuous darkness for several months in winter. Satellite images suggest that they should also benefit from clear skies for a fraction of time comparable to the best mid-latitude sites, and conventional site-selection criteria point to good seeing. In order to confirm these conditions, we are testing three mountain sites on northwestern Ellesmere Island, in Nunavut. On each we have installed a compact, autonomous site-testing station consisting of a meteorological station, a simple optical/near-infrared camera for sensing cloud cover, and - at one site - a more advanced all-sky viewing camera. The systems were deployed by helicopter and run on batteries recharged by wind (a compact methanol fuel cell is under study as a supplementary power source). Effective two-way communications via the Iridium satellite network allows a limited number of highly compressed images to be transferred. The full-winter dataset is stored at the site on flash-drives, thus requiring a return visit to retrieve, but day-to-day station performance can be assessed using telemetry and a computer model. Based on site-testing results, the plan is to select one site for the addition of a seeing monitor and a small but scientifically productive</t>
  </si>
  <si>
    <t>[Steinbring, Eric; Leckie, Brian; Welle, Paul; Hardy, Tim; Fahlman, Gregory G.] Natl Res Council Canada, Herzberg Inst Astrophys, 5071 W Saanich Rd, Victoria, BC V9E 2E7, Canada; [Cole, Bruce; Bayne, Dell] Environm Canada, Saskatoon, SK S7N 3H5, Canada; [Croll, Bryce] Univ Toronto, Dept Phys &amp; Astron, Toronto, ON M5S 3H4, Canada; [Walker, David E.; Carlberg, Raymond G.] Cerro Tololo Interamer Observ, La Serena, Chile; [Wallace, Brad] Def Res &amp; Dev Canada, Ottawa, ON K1A 0Z4, Canada; [Hickson, Paul] Univ British Columbia, Dept Phys &amp; Astron, Vancouver, BC V6T 1Z1, Canada</t>
  </si>
  <si>
    <t>National Research Council Canada; Environment &amp; Climate Change Canada; University of Toronto; National Optical Astronomy Observatory; Defence Research &amp; Development Canada; University of British Columbia</t>
  </si>
  <si>
    <t>Steinbring, E (corresponding author), Natl Res Council Canada, Herzberg Inst Astrophys, 5071 W Saanich Rd, Victoria, BC V9E 2E7, Canada.</t>
  </si>
  <si>
    <t>Eric.Steinbring@nrc-cnrc-gc.ca</t>
  </si>
  <si>
    <t>Carlberg, Raymond G/I-6947-2012; Steinbring, Eric/AFQ-5529-2022</t>
  </si>
  <si>
    <t>Carlberg, Raymond G/0000-0002-7667-0081; Steinbring, Eric/0000-0003-1259-0813</t>
  </si>
  <si>
    <t>Natural Sciences and Engineering Research Council of Canada; National Research Council of Canada; Defence Research and Development Canada</t>
  </si>
  <si>
    <t>Natural Sciences and Engineering Research Council of Canada(Natural Sciences and Engineering Research Council of Canada (NSERC)CGIAR); National Research Council of Canada; Defence Research and Development Canada</t>
  </si>
  <si>
    <t>Many individuals are to be thanked for their help with this work: Liviu Ivanescu for his satellite analysis; Derek Mueller for providing the Ward Hunt Island weather data; Michael Ashley, Zoran Ninkov, and Ron Verral for helpful discussions; Mubdi Rahman and Johnathan Klein for assistance with mapping and field work; Ron McOuat, Peter Turner, and Dennis Milligan for initial system controller integration, David Loop, Darren Erickson, and Karen Inootik for their advice, Ajaz Mirza for wiring and cabling assistance; Bob Wooff for assistance in assembling and wiring the battery packs; Will Kastelic for network support and debugging; Kris Caputa for Linux support; Murry Fletcher for guidance on optics; Jim Jennings, Gordon Hnylycia and Colin Ganton for mechanical fabrication and support; and Mike Hare and Ian McCrea for purchasing and shipping expertise. This research was supported by funds from the Natural Sciences and Engineering Research Council of Canada, the National Research Council of Canada, Defence Research and Development Canada, and Environment Canada. Support from the Polar Continental Shelf Project is through Natural Resources Canada, and we particularly thank their staff and pilots.</t>
  </si>
  <si>
    <t>70121V</t>
  </si>
  <si>
    <t>10.1117/12.789531</t>
  </si>
  <si>
    <t>WOS:000260430300066</t>
  </si>
  <si>
    <t>Yuan, XY; Cui, XQ; Liu, GR; Zhai, FX; Gong, XF; Zhang, R; Xia, LR; Hu, JY; Lawrence, JS; Yan, J; Storey, JWV; Wang, LF; Feng, LL; Ashley, MCB; Zhou, X; Jiang, ZJ; Zhu, ZX</t>
  </si>
  <si>
    <t>Yuan, Xiangyan; Cui, Xiangqun; Liu, Genrong; Zhai, Fengxiang; Gong, Xuefei; Zhang, Ru; Xia, Lirong; Hu, Jingyao; Lawrence, J. S.; Yan, Jun; Storey, J. W. V.; Wang, Lifan; Feng, Longlong; Ashley, M. C. B.; Zhou, Xu; Jiang, Zhaoji; Zhu, Zhenxi</t>
  </si>
  <si>
    <t>Chinese Small Telescope ARray (CSTAR) for Antarctic Dome A</t>
  </si>
  <si>
    <t>Chinese small telescope array (CSTAR); Dome A; variable detection; continuous observation</t>
  </si>
  <si>
    <t>Chinese first arrived in Antarctic Dome A in Jan. 2005 where is widely predicted to be a better astronomical site than Dome C where have a median seeing of 0.27arcsee above 30m from the ground. This paper introduces the first Chinese Antarctic telescope for Dome A (CSTAR) which is composed of four identical telescopes, with entrance pupil 145 mm, 20 square degree FOV and four different filters g, r, i and open band. CSTAR is mainly used for variable stars detection, measurement of atmosphere extinction, sky background and cloud coverage. Now CSTAR has been successfully deployed on Antarctic Dome A by the 24(th) Chinese expedition team in Jan. 2008. It has started automatic observation since March 20, 2008 and will continuously observe the south area for the whole winter time. The limited magnitude observed is about 16.5(m) with 20 seconds exposure time. CSTARS's success is a treasurable experience and we can benefit a lot for our big telescope plans, including our three ongoing 500mm Antarctic Schmidt telescopes (AST3).</t>
  </si>
  <si>
    <t>[Yuan, Xiangyan; Cui, Xiangqun; Liu, Genrong; Zhai, Fengxiang; Gong, Xuefei; Zhang, Ru; Xia, Lirong] Chinese Acad Sci, Natl Astron Observ, Nanjing Inst Astron Opt &amp; Technol, Beijing 100864, Peoples R China; [Wang, Lifan; Feng, Longlong; Zhu, Zhenxi] Purple Mt Obser, Nanjing, Jiangsu, Peoples R China; Natl Astron Observ Japan, Mitaka, Tokyo, Japan; [Yuan, Xiangyan; Cui, Xiangqun; Gong, Xuefei; Hu, Jingyao; Yan, Jun; Wang, Lifan; Feng, Longlong; Zhou, Xu; Jiang, Zhaoji; Zhu, Zhenxi] Chinese Ctr Antarctic Astron, Nanjing, Jiangsu, Peoples R China; [Lawrence, J. S.; Storey, J. W. V.; Ashley, M. C. B.] Univ New S Wales, Sydney, NSW, Australia</t>
  </si>
  <si>
    <t>Chinese Academy of Sciences; National Astronomical Observatory, CAS; Nanjing Institute of Astronomical Optics &amp; Technology, NAOC, CAS; Purple Mountain Observatory, CAS; National Institutes of Natural Sciences (NINS) - Japan; National Astronomical Observatory of Japan (NAOJ); University of New South Wales Sydney</t>
  </si>
  <si>
    <t>Yuan, XY (corresponding author), 188 Bancang St, Nanjing 210042, Peoples R China.</t>
  </si>
  <si>
    <t>xyyuan@niaot.ac.cn</t>
  </si>
  <si>
    <t>70124G</t>
  </si>
  <si>
    <t>10.1117/12.788748</t>
  </si>
  <si>
    <t>WOS:000260430300153</t>
  </si>
  <si>
    <t>McGregor, JL; Dix, MR</t>
  </si>
  <si>
    <t>Hamilton, K; Ohfuchi, W</t>
  </si>
  <si>
    <t>McGregor, John L.; Dix, Martin R.</t>
  </si>
  <si>
    <t>An updated description of the Conformal-Cubic atmospheric model</t>
  </si>
  <si>
    <t>HIGH RESOLUTION NUMERICAL MODELLING OF THE ATMOSPHERE AND OCEAN</t>
  </si>
  <si>
    <t>International Workshop on High Resolution Modeling</t>
  </si>
  <si>
    <t>SEP 21-22, 2005</t>
  </si>
  <si>
    <t>Yokohama Inst Earth Sci, Yokohama, JAPAN</t>
  </si>
  <si>
    <t>Yokohama Inst Earth Sci</t>
  </si>
  <si>
    <t>SEMI-LAGRANGIAN ADVECTION; SCHEME; PRECIPITATION; INTEGRATION; CLOUDS; GRIDS</t>
  </si>
  <si>
    <t>An updated description is presented for the quasi-uniform Conformal-Cubic Atmospheric Model. The model achieves high efficiency as a result of using semi-Lagrangian, semi-implicit time differencing. A reversible staggering treatment for the wind components provides very good dispersion characteristics. An MPI methodology is employed that allows the model to run efficiently on multiple processors. The physical parameterizations for the model are briefly described, and results are shown for the Held-Suarez test, the Aqua-Planet Experiment and an AMIP simulation having 125 km resolution. Antarctic snow accumulation is also shown from a shorter simulation having 50 km resolution.</t>
  </si>
  <si>
    <t>[McGregor, John L.; Dix, Martin R.] CSIRO Marine &amp; Atmospher Res, PBI Aspendale, Mordialloc, Vic 3195, Australia</t>
  </si>
  <si>
    <t>Commonwealth Scientific &amp; Industrial Research Organisation (CSIRO)</t>
  </si>
  <si>
    <t>McGregor, JL (corresponding author), CSIRO Marine &amp; Atmospher Res, PBI Aspendale, Mordialloc, Vic 3195, Australia.</t>
  </si>
  <si>
    <t>Dix, Martin R/A-2334-2012; McGregor, John L/C-6646-2012</t>
  </si>
  <si>
    <t>Dix, Martin R/0000-0002-7534-0654;</t>
  </si>
  <si>
    <t>233 SPRING STREET, NEW YORK, NY 10013, UNITED STATES</t>
  </si>
  <si>
    <t>978-0-387-36671-5</t>
  </si>
  <si>
    <t>10.1007/978-0-387-49791-4_4</t>
  </si>
  <si>
    <t>BHC91</t>
  </si>
  <si>
    <t>WOS:000252233800004</t>
  </si>
  <si>
    <t>Sasaki, H; Nonaka, M; Masumoto, Y; Sasai, Y; Uehara, H; Sakuma, H</t>
  </si>
  <si>
    <t>Sasaki, Hideharu; Nonaka, Masami; Masumoto, Yukio; Sasai, Yoshikazu; Uehara, Hitoshi; Sakuma, Hirofumi</t>
  </si>
  <si>
    <t>An eddy-resolving hindcast simulation of the quasiglobal ocean from 1950 to 2003 on the Earth simulator</t>
  </si>
  <si>
    <t>ANTARCTIC CIRCUMPOLAR CURRENT; TROPICAL INDIAN-OCEAN; BOTTOM PRESSURE MEASUREMENTS; DATA ASSIMILATION ANALYSIS; 1997-98 EL-NINO; ATLANTIC-OCEAN; CLIMATE OSCILLATION; GENERAL-CIRCULATION; NORTH-ATLANTIC; MODEL</t>
  </si>
  <si>
    <t>An eddy-resolving hindcast experiment forced by daily mean atmospheric reanalysis data covering the second half of the twentieth century was completed successfully on the Earth Simulator. The domain covers quasiglobal from 75 degrees S to 75 degrees N excluding arctic regions, with horizontal resolution of 0.1 degrees and 54 degrees vertical levels. Encouraged by high performance of the preceding spin-up integration in capturing the time-mean and transient eddy fields of the world oceans, the hindcast run is executed to see how well the observed variations in the low- and midlatitude regions spanning from intraseasonal to decadal timescales are reproduced in the simulation. Our report presented here covers, among others, the El Nino and the Indian Ocean Dipole events, the Pacific and the Pan-Atlantic decadal oscillations, and the intraseasonal variations in the equatorial Pacific and Indian Oceans, which are represented well in the hindcast simulation, comparing with the observations. The simulated variations in not only the surface but also subsurface layers are compared with observations, for example, the decadal subsurface temperature change with narrow structures in the Kuroshio Extension region. Furthermore, we focus on the improved aspects of the hindcast simulation over the spin-up run, possibly brought about by realistic high-frequency daily mean forcing.</t>
  </si>
  <si>
    <t>[Sasaki, Hideharu; Nonaka, Masami; Masumoto, Yukio; Sasai, Yoshikazu; Uehara, Hitoshi; Sakuma, Hirofumi] Japan Agcy Marine Earth Sci &amp; Technol, Frontier Res Ctr Global Change, Kanazawa Ku, Kanagawa 2360001, Japan</t>
  </si>
  <si>
    <t>Japan Agency for Marine-Earth Science &amp; Technology (JAMSTEC)</t>
  </si>
  <si>
    <t>Sasaki, H (corresponding author), Japan Agcy Marine Earth Sci &amp; Technol, Frontier Res Ctr Global Change, Kanazawa Ku, Kanagawa 2360001, Japan.</t>
  </si>
  <si>
    <t>Nonaka, Masami/G-3417-2014; MASUMOTO, YUKIO/G-5021-2014</t>
  </si>
  <si>
    <t>Nonaka, Masami/0000-0003-2522-0686</t>
  </si>
  <si>
    <t>10.1007/978-0-387-49791-4_10</t>
  </si>
  <si>
    <t>WOS:000252233800010</t>
  </si>
  <si>
    <t>Turchetti, S; Naylor, S; Dean, K; Siegert, M</t>
  </si>
  <si>
    <t>Turchetti, Simone; Naylor, Simon; Dean, Katrina; Siegert, Martin</t>
  </si>
  <si>
    <t>On thick ice: scientific internationalism and Antarctic affairs, 1957-1980</t>
  </si>
  <si>
    <t>HISTORY AND TECHNOLOGY</t>
  </si>
  <si>
    <t>Antarctica; Antarctic Treaty; Cold War; geopolitics; scientific internationalism</t>
  </si>
  <si>
    <t>AUSTRALIAN FOREIGN-POLICY; PROJECT; SCIENCE; USA</t>
  </si>
  <si>
    <t>This paper focuses on the role played by scientific internationalism in Antarctica during the two decades that followed the signing and ratification of the Antarctic Treaty in 1961. The paper shows that the Treaty was a response to the threat to the 'free world' represented by the installation of Soviet bases in Antarctica. Scientific internationalism was used as a diplomatic weapon to respond to that threat. In the 1960s, the development of international cooperative research allowed the USA, the largest logistic operator in Antarctica, to gain control of local affairs by penetrating into strategic areas, influencing the policies of other nations, and defusing existing tensions between them. This was the case with the International Antarctic Glaciological Project, a multilateral glaciological and geological research effort in East Antarctica. In the 1970s a far more complex political situation developed, defined by changes in the US Antarctic policy and the rise of military regimes in South American countries.</t>
  </si>
  <si>
    <t>s.turchetti@leeds.ac.uk</t>
  </si>
  <si>
    <t>Turchetti, Simone/A-1259-2009; Siegert, Martin/M-9939-2019; Siegert, Martin J/A-3826-2008</t>
  </si>
  <si>
    <t>Siegert, Martin/0000-0002-0090-4806; Siegert, Martin J/0000-0002-0090-4806; Naylor, Simon/0000-0001-7747-1714; Turchetti, Simone/0000-0003-1834-2503</t>
  </si>
  <si>
    <t>0734-1512</t>
  </si>
  <si>
    <t>1477-2620</t>
  </si>
  <si>
    <t>HIST TECHNOL</t>
  </si>
  <si>
    <t>Hist. Technol.</t>
  </si>
  <si>
    <t>10.1080/07341510802357419</t>
  </si>
  <si>
    <t>395BY</t>
  </si>
  <si>
    <t>WOS:000262498500004</t>
  </si>
  <si>
    <t>Chambers, PA; Lacoul, P; Murphy, KJ; Thomaz, SM</t>
  </si>
  <si>
    <t>Chambers, P. A.; Lacoul, P.; Murphy, K. J.; Thomaz, S. M.</t>
  </si>
  <si>
    <t>Global diversity of aquatic macrophytes in freshwater</t>
  </si>
  <si>
    <t>HYDROBIOLOGIA</t>
  </si>
  <si>
    <t>aquatic macrophyte; aquatic weeds; macroalgae; diversity; distribution; composition; lakes; rivers</t>
  </si>
  <si>
    <t>RANUNCULUS-TRICHOPHYLLUS CHAIX.; CHLOROPLAST GENOME SEQUENCE; HIGH-ALTITUDE LAKES; PLANT-COMMUNITIES; PROLIFERATION; BIOGEOGRAPHY; COMPLEXITY; RICHNESS; REVEALS; ALGAE</t>
  </si>
  <si>
    <t>Aquatic macrophytes are aquatic photosynthetic organisms, large enough to see with the naked eye, that actively grow permanently or periodically submerged below, floating on, or growing up through the water surface. Aquatic macrophytes are represented in seven plant divisions: Cyanobacteria, Chlorophyta, Rhodophyta, Xanthophyta, Bryophyta, Pteridophyta and Spermatophyta. Species composition and distribution of aquatic macrophytes in the more primitive divisions are less well known than for the vascular macrophytes (Pteridophyta and Spermatophyta), which are represented by 33 orders and 88 families with about 2,614 species in c. 412 genera. These c. 2,614 aquatic species of Pteridophyta and Spermatophyta evolved from land plants and represent only a small fraction (similar to 1%) of the total number of vascular plants. Our analysis of the numbers and distribution of vascular macrophytes showed that whilst many species have broad ranges, species diversity is highest in the Neotropics, intermediate in the Oriental, Nearctic and Afrotropics, lower in the Palearctic and Australasia, lower again in the Pacific Oceanic Islands, and lowest in the Antarctic region. About 39% of the c. 412 genera containing aquatic vascular macrophytes are endemic to a single biogeographic region, with 61-64% of all aquatic vascular plant species found in the Afrotropics and Neotropics being endemic to those regions. Aquatic macrophytes play an important role in the structure and function of aquatic ecosystems and certain macrophyte species (e.g., rice) are cultivated for human consumption, yet several of the worst invasive weeds in the world are aquatic plants. Many of the threats to fresh waters (e.g., climate change, eutrophication) will result in reduced macrophyte diversity and will, in turn, threaten the faunal diversity of aquatic ecosystems and favour the establishment of exotic species, at the expense of native species.</t>
  </si>
  <si>
    <t>[Chambers, P. A.] Environm Canada, Burlington, ON L7R 4A6, Canada; [Lacoul, P.] Dalhousie Univ, Dept Biol, Halifax, NS B3H 4J1, Canada; [Murphy, K. J.] Univ Glasgow, Inst Biomed &amp; Life Sci, Div Environm &amp; Evolutionary Biol, Glasgow G12 8QQ, Lanark, Scotland; [Thomaz, S. M.] Univ Estadual Maringa, BR-87020900 Maringa, Parana, Brazil</t>
  </si>
  <si>
    <t>Environment &amp; Climate Change Canada; Dalhousie University; University of Glasgow; Universidade Estadual de Maringa</t>
  </si>
  <si>
    <t>Chambers, PA (corresponding author), Environm Canada, 867 Lakeshore Blvd,POB 5050, Burlington, ON L7R 4A6, Canada.</t>
  </si>
  <si>
    <t>Patricia.Chambers@ec.gc.ca</t>
  </si>
  <si>
    <t>Thomaz, Sidinei Magela/A-7331-2013; Fugi, Rosemara/D-5708-2016</t>
  </si>
  <si>
    <t>0018-8158</t>
  </si>
  <si>
    <t>1573-5117</t>
  </si>
  <si>
    <t>Hydrobiologia</t>
  </si>
  <si>
    <t>10.1007/s10750-007-9154-6</t>
  </si>
  <si>
    <t>249TS</t>
  </si>
  <si>
    <t>WOS:000252253300003</t>
  </si>
  <si>
    <t>Garey, JR; McInnes, SJ; Nichols, PB</t>
  </si>
  <si>
    <t>Garey, James R.; McInnes, Sandra J.; Nichols, P. Brent</t>
  </si>
  <si>
    <t>Global diversity of tardigrades (Tardigrada) in freshwater</t>
  </si>
  <si>
    <t>Tardigrada; biogeography; phylogeny; distribution; diversity</t>
  </si>
  <si>
    <t>BIOGEOGRAPHY; EVOLUTION; ECOLOGY; ANIMALS; BIOLOGY; FAUNA</t>
  </si>
  <si>
    <t>Tardigrada is a phylum closely allied with the arthropods. They are usually less than 0.5 mm in length, have four pairs of lobe-like legs and are either carnivorous or feed on plant material. Most of the 900+ described tardigrade species are limnoterrestrial and live in the thin film of water on the surface of moss, lichens, algae, and other plants and depend on water to remain active and complete their life cycle. In this review of 910 tardigrade species, only 62 species representing13 genera are truly aquatic and not found in limnoterrestrial habitats although many other genera contain limnoterrestrial species occasionally found in freshwater.</t>
  </si>
  <si>
    <t>[Garey, James R.; Nichols, P. Brent] Univ S Florida, Div Cell Biol Microbiol &amp; Mol Biol, Tampa, FL 33620 USA; [McInnes, Sandra J.] British Antarctic Survey, NERC, Cambridge CB3 0ET, England</t>
  </si>
  <si>
    <t>State University System of Florida; University of South Florida; UK Research &amp; Innovation (UKRI); Natural Environment Research Council (NERC); NERC British Antarctic Survey</t>
  </si>
  <si>
    <t>Garey, JR (corresponding author), Univ S Florida, Div Cell Biol Microbiol &amp; Mol Biol, Tampa, FL 33620 USA.</t>
  </si>
  <si>
    <t>garey@cas.usf.edu</t>
  </si>
  <si>
    <t>McInnes, Sandra/AAN-4773-2020; Garey, James/J-1062-2017</t>
  </si>
  <si>
    <t>McInnes, Sandra/0000-0003-3403-9379; Garey, James/0000-0001-8205-5563</t>
  </si>
  <si>
    <t>NERC [bas010015] Funding Source: UKRI; Natural Environment Research Council [bas010015] Funding Source: researchfish</t>
  </si>
  <si>
    <t>10.1007/s10750-007-9123-0</t>
  </si>
  <si>
    <t>WOS:000252253300013</t>
  </si>
  <si>
    <t>Crandall, KA; Buhay, JE</t>
  </si>
  <si>
    <t>Crandall, Keith A.; Buhay, Jennifer E.</t>
  </si>
  <si>
    <t>Global diversity of crayfish (Astacidae, Cambaridae, and Parastacidae-Decapoda) in freshwater</t>
  </si>
  <si>
    <t>crayfish; biodiversity; phylogeny; conservation</t>
  </si>
  <si>
    <t>CONSERVATION STATUS; MITOCHONDRIAL-DNA; MADAGASCAR; ORIGIN</t>
  </si>
  <si>
    <t>The freshwater crayfishes are distributed across all but the Indian and Antarctic continents with centers of diversity in the southeastern Appalachian Mountains in the Northern Hemisphere and in south-east Australia in the Southern Hemisphere. There are currently over 640 described species of freshwater crayfishes with an average of 5-10 species still being described each year. Freshwater crayfishes can serve as keystone species in aquatic habitats, but a few species are also significantly invasive and can cause impressive damage to the fragile freshwater habitat. Crayfishes inhabit caves, burrows, streams, lakes and strong burrowers can even be found in terrestrial habitats where they have burrowed to the water table or where rainfall is sufficiently abundant to provide the needed moisture. The freshwater crayfishes, like the habitats in which they are encountered, are generally endangered to some degree and conservation efforts would do well to focus on them as key elements of the freshwater ecosystem.</t>
  </si>
  <si>
    <t>[Crandall, Keith A.; Buhay, Jennifer E.] Brigham Young Univ, Dept Biol, Provo, UT 84602 USA; [Crandall, Keith A.] Brigham Young Univ, Monte L Bean Life Sci Museum, Provo, UT 84602 USA</t>
  </si>
  <si>
    <t>Brigham Young University; Brigham Young University</t>
  </si>
  <si>
    <t>Crandall, KA (corresponding author), Brigham Young Univ, Dept Biol, Provo, UT 84602 USA.</t>
  </si>
  <si>
    <t>keith_crandall@byu.edu</t>
  </si>
  <si>
    <t>Crandall, Keith A/H-2789-2019</t>
  </si>
  <si>
    <t>Crandall, Keith A/0000-0002-0836-3389</t>
  </si>
  <si>
    <t>10.1007/s10750-007-9120-3</t>
  </si>
  <si>
    <t>WOS:000252253300033</t>
  </si>
  <si>
    <t>Creuwels, JCS; Van Franeker, JA; Doust, SJ; Beinssen, A; Harding, B; Hentschel, O</t>
  </si>
  <si>
    <t>Creuwels, Jeroen C. S.; Van Franeker, Jan A.; Doust, Susan J.; Beinssen, Anna; Harding, Belinda; hentschel, Oliver</t>
  </si>
  <si>
    <t>Breeding strategies of Antarctic Petrels Thalassoica antarctica and Southern Fulmars Fulmarus glacialoides in the high Antarctic and implications for reproductive success</t>
  </si>
  <si>
    <t>IBIS</t>
  </si>
  <si>
    <t>Antarctica; ecology; Fulmarine petrels; Fulmarus glacioloides; seabirds; timing of breeding; Thalassoica antarctica</t>
  </si>
  <si>
    <t>WINDMILL ISLANDS; ICE CONDITIONS; SNOW; PROCELLARIIDAE; INCUBATION; ABUNDANCE; SURVIVAL; SEABIRDS; GROWTH; ARDERY</t>
  </si>
  <si>
    <t>Breeding strategies of two closely related fulmarine petrels were studied on Ardery Island, on the continental coast of East Antarctica, where short summers are expected to narrow the time-window for reproduction. Both species had a similar breeding period (97 days from laying to fledging) but Antarctic Petrels Thalassoica antarctica bred up to 16 days earlier than Southern Fulmars. During the pre-laying exodus, all Antarctic Petrels deserted the colony, whereas some Southern Fulmars Fulmarus glacialoides remained. Antarctic Petrels exhibited stronger synchronization in breeding, made longer foraging trips and spent less time guarding their chicks than Southern Fulmars. Overall breeding success of both species was similar but failures of Antarctic Petrels were concentrated in the early egg-phase and after hatching, when parents ceased guarding. Southern Fulmars lost eggs and chicks later in the breeding cycle and so wasted more parental investment in failed breeding attempts. Different breeding strategies may be imposed by flight characteristics; Southern Fulmars are less capable of crossing large expanses of pack ice and need to delay breeding until the sea ice retreats and breaks up. However, due to the short summer they risk chick failure when weather conditions deteriorate late in the season.</t>
  </si>
  <si>
    <t>[Creuwels, Jeroen C. S.; Van Franeker, Jan A.] Wageningen IMARES, NL-1790 AD Den Burg, Netherlands; [Creuwels, Jeroen C. S.] Univ Groningen, Dept Marine Benth Ecol &amp; Evol, NL-9750 AA Haren, Netherlands; [Doust, Susan J.; Beinssen, Anna; Harding, Belinda; hentschel, Oliver] Australian Antarctic Div, Kingston, Tas 7050, Australia</t>
  </si>
  <si>
    <t>Wageningen University &amp; Research; University of Groningen; Australian Antarctic Division</t>
  </si>
  <si>
    <t>Creuwels, JCS (corresponding author), Wageningen IMARES, POB 167, NL-1790 AD Den Burg, Netherlands.</t>
  </si>
  <si>
    <t>jeroen@creuwels.nl</t>
  </si>
  <si>
    <t>Bond, Alexander L/A-3786-2010</t>
  </si>
  <si>
    <t>0019-1019</t>
  </si>
  <si>
    <t>1474-919X</t>
  </si>
  <si>
    <t>Ibis</t>
  </si>
  <si>
    <t>Ornithology</t>
  </si>
  <si>
    <t>Zoology</t>
  </si>
  <si>
    <t>249DN</t>
  </si>
  <si>
    <t>WOS:000252207300017</t>
  </si>
  <si>
    <t>Singh, SP; Kumari, S; Rastogi, RP; Singh, KL; Sinha, RP</t>
  </si>
  <si>
    <t>Singh, Shailendra P.; Kumari, Sunita; Rastogi, Rajesh P.; Singh, Kanchan L.; Sinha, Rajeshwar P.</t>
  </si>
  <si>
    <t>Mycosporine-like amino acids (MAAS): Chemical structure, biosynthesis and significance as UV-absorbing/screening compounds</t>
  </si>
  <si>
    <t>INDIAN JOURNAL OF EXPERIMENTAL BIOLOGY</t>
  </si>
  <si>
    <t>cyanobacteria; macroalgae; mycosporine-like amino acids (MAAs); phytoplankton; UV radiation</t>
  </si>
  <si>
    <t>ULTRAVIOLET-B RADIATION; RICE-FIELD CYANOBACTERIUM; EXCITED-STATE PROPERTIES; INDUCED DNA-DAMAGE; RED ALGA; ABSORBING COMPOUNDS; SOLAR ULTRAVIOLET; OZONE DEPLETION; ANTARCTIC MACROALGAE; OXIDATIVE STRESS</t>
  </si>
  <si>
    <t>Continuous depletion of the stratospheric ozone layer has resulted in an increase in ultraviolet-B (UV-B; 280-315 nm) radiation on the earth's surface which inhibits photochemical and photobiological processes. However, certain photosynthetic organisms have evolved mechanisms to counteract the toxicity of ultraviolet or high photosynthetically active radiation by synthesizing the UV-absorbing/screening compounds, such as mycosporine-like amino acids (MAAs) and scytonemin besides the repair of UV-induced damage of DNA and accumulation of carotenoids and detoxifying enzymes or radical quenchers and antioxidants. Chemical structure of various MAAs, their possible biochemical routes of synthesis and role as photoprotective compounds in various organisms are discussed.</t>
  </si>
  <si>
    <t>[Singh, Shailendra P.; Kumari, Sunita; Rastogi, Rajesh P.; Singh, Kanchan L.; Sinha, Rajeshwar P.] Banaras Hindu Univ, Ctr Adv Study Bot, Varanasi 221005, Uttar Pradesh, India</t>
  </si>
  <si>
    <t>Banaras Hindu University (BHU)</t>
  </si>
  <si>
    <t>Sinha, RP (corresponding author), Banaras Hindu Univ, Ctr Adv Study Bot, Varanasi 221005, Uttar Pradesh, India.</t>
  </si>
  <si>
    <t>r.p.sinha@gmx.net</t>
  </si>
  <si>
    <t>Kumari, Sunita/ACB-6824-2022; Singh, Shailendra P./AAQ-2730-2020; Sinha, Rajeshwar/CAC-2606-2022</t>
  </si>
  <si>
    <t>Kumari, Sunita/0000-0003-3050-5096; Singh, Shailendra P./0000-0001-6451-7154; Sinha, Rajeshwar/0000-0002-0112-6161</t>
  </si>
  <si>
    <t>NATL INST SCIENCE COMMUNICATION-NISCAIR</t>
  </si>
  <si>
    <t>NEW DELHI</t>
  </si>
  <si>
    <t>DR K S KRISHNAN MARG, PUSA CAMPUS, NEW DELHI 110 012, INDIA</t>
  </si>
  <si>
    <t>0019-5189</t>
  </si>
  <si>
    <t>0975-1009</t>
  </si>
  <si>
    <t>INDIAN J EXP BIOL</t>
  </si>
  <si>
    <t>Indian J. Exp. Biol.</t>
  </si>
  <si>
    <t>Biology</t>
  </si>
  <si>
    <t>Life Sciences &amp; Biomedicine - Other Topics</t>
  </si>
  <si>
    <t>250HI</t>
  </si>
  <si>
    <t>WOS:000252290200002</t>
  </si>
  <si>
    <t>Hoover, RB; Pikuta, EV; Townsend, A; Anthony, J; Guisler, M; McDaniel, J; Bej, A; Storrie-Lombardi, M</t>
  </si>
  <si>
    <t>Hoover, RB; Levin, GV; Rozanov, AY; Davies, PCW</t>
  </si>
  <si>
    <t>Hoover, Richard B.; Pikuta, Elena V.; Townsend, Alisa; Anthony, Joshua; Guisler, Melissa; McDaniel, Jasmine; Bej, Asim; Storrie-Lombardi, Michael</t>
  </si>
  <si>
    <t>Microbial Extremophiles from the 2008 Schirmacher Oasis Expedition: Preliminary Results</t>
  </si>
  <si>
    <t>INSTRUMENTS, METHODS, AND MISSIONS FOR ASTROBIOLOGY XI</t>
  </si>
  <si>
    <t>Conference on Instruments, Methods, and Missions for Astrobiology XI</t>
  </si>
  <si>
    <t>AUG 12-14, 2008</t>
  </si>
  <si>
    <t>anacrobes; psychrophilic; psychrotolerant; alkali-tolerant; Antarctica; Extremophiles</t>
  </si>
  <si>
    <t>DRONNING MAUD LAND; SP-NOV.; FACULTATIVE ANAEROBE; LAKE UNTERSEE; MONO LAKE</t>
  </si>
  <si>
    <t>Among the most interesting targets for Astrobiology research are the polar ice caps and the permafrost of Mars and the ice and liquid water bodies that may lie beneath the frozen crusts of comets, the icy moons of Jupiter (Europa, Io and Ganymede) and Saturn (Titan and Enceladus). The permanently ice-covered lakes of Antarctica, such as Lake Vostok and Lake Untersee, provide some of the best terrestrial analogues for these targets. The 2008 Intemational Tawani Schirmacher Oasis/Lake Untersee Expeditions have been organized to conduct studies of novel microbial extremophiles and investigate the biodiversity of the glaciers and ice-covered lakes of Dronning Maud Land, East Antarctica. This paper describes the preliminary analysis of the anaerobic microbial extremophiles isolated from samples collected during the 2008 International Schirmacher Oasis Antarctica Reconnaissance Expedition. These samples showed great diversity of psychrophlic and psychrotolerant bacteria. Six new anaerobic strains have been isolated in pure cultures and partially characterized. Two of them (strains ARHSd-7G and ARHSd-9G) were isolated from a small tidal pool near the colony of African Penguins Spheniscus demersus. Strain ARHSd-7G was isolated on mineral anaerobic medium with 3 % NaCl, pH 7 and D-glucose, it has motile, vibrion shape cells, and is Gram variable. Strain ARHSd-9G grew on anaerobic, alkaline medium with pH 9 and 1 % NaCl at 3 degrees C. The substrate was D-glucose supplemented with yeast extract (0.05 %). Cells of strain ARHSd-9G had morphology of straight or slightly curved elongated rods and demonstrated unusual optical effects under dark-field visible light microscopy. The cells were spore-forming and Gram positive. From the mat sample collected near Lake Zub, the new strain LZ-3 was isolated in pure culture at 3 degrees C. Strain LZ-3 was anaerobic and grew on 0.5 % NaCl mineral medium with D-glucose as a substrate. The gram positive cells were spore-forming. They exhibited a distinctive morphology of large rods with rounded ends and size 1x10 mu m. From the sample of ice sculpted by wind and melting by solar heating, containing many entrained black rocks collected near Lake Podprudnoye the new strain ISLP-22 was isolated in pure culture. The cells of this strain had vibrion shape and were spore-forming and had baseball bat shapes). This culture preferred 0.1 % NaCl mineral anaerobic medium and grew rapidly at 3 degrees C. Currently, all strains are under physiological study and phylogenetic analysis.</t>
  </si>
  <si>
    <t>[Hoover, Richard B.; Pikuta, Elena V.] Natl Space Sci &amp; Technol Ctr, Astrobiol Lab, 320 Sparkman Dr, Huntsville, AL 35805 USA; [Townsend, Alisa; Guisler, Melissa] Univ Alabama, Dept Biol, Huntsville, AL 35899 USA; [Anthony, Joshua; McDaniel, Jasmine] Oakwood Univ, Huntsville, AL 35896 USA; [Bej, Asim] Univ Alabama Birmingham, Dept Biol, Birmingham, AL 35294 USA; [Storrie-Lombardi, Michael] Kinohi Inst, Pasadena, CA 91101 USA</t>
  </si>
  <si>
    <t>University of Alabama System; University of Alabama Huntsville; Oakwood University; University of Alabama System; University of Alabama Birmingham</t>
  </si>
  <si>
    <t>Hoover, RB (corresponding author), Natl Space Sci &amp; Technol Ctr, Astrobiol Lab, 320 Sparkman Dr, Huntsville, AL 35805 USA.</t>
  </si>
  <si>
    <t>/0000-0003-3060-1088</t>
  </si>
  <si>
    <t>NASA Headquarters; John Horack at NASA/MSFC; Valery Lukin Russian Arctic and Antarctic Research Institute (AARI); Mirella Kruger of Antarctic Logistics Center International (ALCI); Novolazavarevskaya Station</t>
  </si>
  <si>
    <t>NASA Headquarters(National Aeronautics &amp; Space Administration (NASA)); John Horack at NASA/MSFC; Valery Lukin Russian Arctic and Antarctic Research Institute (AARI); Mirella Kruger of Antarctic Logistics Center International (ALCI); Novolazavarevskaya Station</t>
  </si>
  <si>
    <t>We are deeply grateful to the Tawani Founsdation for making the International 2008 Schirmacher Oasis/Lake Untersee Expeditions possible. We want to acknowledge the support of NASA Headquarters and John Horack at NASA/MSFC. We are deeply grateful to Martin Kress, Mary Traweek, and Ron Koczor of NSSTC and Carolyn Greenwood of NASA/MSFC for his tireless efforts in making these expeditions possible. We are also deeply fateful to the other members of the Expedition Team - Col. James Pritzker, Valery Galchenko, Art Mortvedt, and Dale Andersen. We are also deeply grateful to Valery Lukin Russian Arctic and Antarctic Research Institute (AARI), Mirella Kruger of Antarctic Logistics Center International (ALCI) and all of the wonderful personnel at the Novolazavarevskaya Station for their generous support.</t>
  </si>
  <si>
    <t>978-0-8194-7317-2</t>
  </si>
  <si>
    <t>70970L</t>
  </si>
  <si>
    <t>10.1117/12.801018</t>
  </si>
  <si>
    <t>BIS82</t>
  </si>
  <si>
    <t>WOS:000262473900015</t>
  </si>
  <si>
    <t>Mojib, N; Bej, AK; Hoover, R</t>
  </si>
  <si>
    <t>Mojib, Nazia; Bej, Asim K.; Hoover, Richard</t>
  </si>
  <si>
    <t>Diversity and cold adaptation of microorganisms isolated from the Schirmacher Oasis, Antarctica</t>
  </si>
  <si>
    <t>ACCLIMATION PROTEINS; SHOCK PROTEINS; BACTERIUM; CSPA</t>
  </si>
  <si>
    <t>We have investigated the feasibility of the PCR amplification of the 16S rRNA genes from eubacteria and Archea on samples collected on Whatman FTA filters from Schirmacher Oasis for the study of culture-independent analysis of the microbial diversity. Both conventional PCR and real-time Taqman (TM) PCR successfully amplified the targeted genes. A number of diverse groups of psychrotolerant microorganisms with various pigments have been isolated when cultured on agar medium. 16S rRNA gene analysis of these isolates helped us to identify closest taxonomic genus Pseudomonas, Frigoribacterium, Arthrobacter, Flavobacterium, and Janthinobacterium. It is possible that the pigments play protective role from solar UV radiation, which is prevalent in Antarctic continent especially during Austral summer months. Study of the expression of cold adaptive protein CapB and ice-binding protein IBP using western blots showed positive detection of both or either of these proteins in 6 out of 8 isolates. Since the CapB and IBP protein structure greatly varies in microorganisms, it is possible that the 2 isolates with negative results could have a different class of these proteins. The expression of the CapB and the IBP in these isolates suggest that these proteins are essential for the survival in the Antarctic cold and subzero temperatures and protect themselves from freeze-damage. The current study provided sufficient data to further investigate the rich and diverse biota of psychrotolerant extremophiles in the Antarctic Schirmacher Oasis using both culture-independent and culture-based approaches; and understand the mechanisms of cold tolerance.</t>
  </si>
  <si>
    <t>[Mojib, Nazia; Bej, Asim K.] Univ Alabama Birmingham, Dept Biol, Birmingham, AL 35294 USA; [Hoover, Richard] NASA, Natl Space Sci &amp; Technol Ctr, Huntsville, AL 35805 USA</t>
  </si>
  <si>
    <t>University of Alabama System; University of Alabama Birmingham; National Aeronautics &amp; Space Administration (NASA)</t>
  </si>
  <si>
    <t>Mojib, N (corresponding author), Univ Alabama Birmingham, Dept Biol, Birmingham, AL 35294 USA.</t>
  </si>
  <si>
    <t>abej@uab.edu</t>
  </si>
  <si>
    <t>/0000-0003-3060-1088; MOJIB, NAZIA/0000-0003-4924-5538</t>
  </si>
  <si>
    <t>TAWANI Foundation, Chicago, IL</t>
  </si>
  <si>
    <t>We thank the Department of Biology, UAB for providing the graduate student support; the RECON Expedition to Antarctic Schirmacher Oasis was sponsored and supported by the TAWANI Foundation, Chicago, IL; Logistics support for the Antarctic expedition was provided by the National Aeronautics and Space Administration (NASA)/NSSTC/VCSI; Arctic and Antarctic Research Institute (AARI) of St. Petersburg, Russia; the Planetary Study Foundation (PSF) and Antarctic Logistics Center International (ALCI) of Capetown South Africa. We are especially grateful to members of the Reconaissance Team: Valery Galchenko of the Winogradsky Institute (RAS); Dale Andersen (SETI Institute); and Art Mortvedt od Alaska Wilderness and Col. James Pritzker of TAWANI Foundation for providing critical logistics support for the expedition. We also are deeply grateful to Martin Kress, Executive Director of the Von Braun Center for Science and Inovation (VCSI) and John Horack NASA/MSFC for supporting this research. We also thank to James Raymond, UNLV and Micheal Janech, UNC for providing us the Navicula IBP antibody.</t>
  </si>
  <si>
    <t>70970K</t>
  </si>
  <si>
    <t>10.1117/12.795394</t>
  </si>
  <si>
    <t>WOS:000262473900014</t>
  </si>
  <si>
    <t>Wilson, AT</t>
  </si>
  <si>
    <t>Wilson, A. T.</t>
  </si>
  <si>
    <t>The perennially ice-covered lakes of the cold and rainless deserts of the Antarctic, and by extension, Mars (Implications for finding Martian life)</t>
  </si>
  <si>
    <t>Instruments, Methods, and Missions for Astrobiology XI</t>
  </si>
  <si>
    <t>Martian Lakes; Exobiology; Martian brines; Martian Exploration; Martian Fluvial Processes</t>
  </si>
  <si>
    <t>The salt geochemistry of Mars is predicted as an extrapolation of the salt geochemistry of the Dry (ice-free) Valleys in Antarctica. It is hard to escape the implication that there must be calcium/magnesium brine lakes in the enclosed drainage basins associated with the Northern Ice Cap. Because of the extreme cold these lakes will have acquired an ice cover. At the interface between the ice cover and the brine, one may find a thin layer of relatively fresh water. This might be the best and easiest place to look for Martian life.</t>
  </si>
  <si>
    <t>Univ Arizona, Dept Geosci, Tucson, AZ 85721 USA</t>
  </si>
  <si>
    <t>University of Arizona</t>
  </si>
  <si>
    <t>Wilson, AT (corresponding author), Univ Arizona, Dept Geosci, Tucson, AZ 85721 USA.</t>
  </si>
  <si>
    <t>atwilson@U.arizona.edu</t>
  </si>
  <si>
    <t>70970Y</t>
  </si>
  <si>
    <t>10.1117/12.806579</t>
  </si>
  <si>
    <t>WOS:000262473900027</t>
  </si>
  <si>
    <t>Bulat, S; Alekhina, I; Lipenkov, V; Lukin, V; Marie, D; Lavire, C; Normand, P; Petit, JR</t>
  </si>
  <si>
    <t>Bulat, S.; Alekhina, I.; Lipenkov, V.; Lukin, V.; Marie, D.; Lavire, C.; Normand, P.; Petit, J. R.</t>
  </si>
  <si>
    <t>Microbial life in extreme subglacial Antarctic lake environments: Lake Vostok</t>
  </si>
  <si>
    <t>INTERNATIONAL JOURNAL OF ASTROBIOLOGY</t>
  </si>
  <si>
    <t>[Bulat, S.; Alekhina, I.] RAS, Petersburg Nucl Phys Inst, St Petersburg, Russia; [Lipenkov, V.; Lukin, V.] Arctic &amp; Antarctic Res Inst, St Petersburg 199226, Russia; [Marie, D.] Stn Biol Roscoff, Roscoff, France; [Lavire, C.; Normand, P.] Univ Lyon 1, CNRS, UMR 5557, F-69365 Lyon 1, France; [Bulat, S.; Alekhina, I.; Petit, J. R.] CNRS, Lab Glaciol &amp; Geophys Environm, Grenoble, France</t>
  </si>
  <si>
    <t>National Research Centre - Kurchatov Institute; Petersburg Nuclear Physics Institute; Russian Academy of Sciences; Arctic &amp; Antarctic Research Institute; Sorbonne Universite; VetAgro Sup; Centre National de la Recherche Scientifique (CNRS); Universite Claude Bernard Lyon 1; Centre National de la Recherche Scientifique (CNRS); Communaute Universite Grenoble Alpes; Universite Grenoble Alpes (UGA)</t>
  </si>
  <si>
    <t>sergey.bulat@ujf-grenoble.fr</t>
  </si>
  <si>
    <t>Lipenkov, Vladimir Y/Q-8262-2016; Normand, Philippe/A-1142-2012; LAVIRE, Céline/AAC-4222-2019; Normand, Philippe/ABD-2235-2020; Alekhina, Irina/L-2163-2016</t>
  </si>
  <si>
    <t>LAVIRE, Céline/0000-0002-0698-4683; Normand, Philippe/0000-0002-2139-2141; Alekhina, Irina/0000-0001-9820-8675</t>
  </si>
  <si>
    <t>32 AVENUE OF THE AMERICAS, NEW YORK, NY 10013-2473 USA</t>
  </si>
  <si>
    <t>1473-5504</t>
  </si>
  <si>
    <t>INT J ASTROBIOL</t>
  </si>
  <si>
    <t>Int. J. Astrobiol.</t>
  </si>
  <si>
    <t>Astronomy &amp; Astrophysics; Biology; Geosciences, Multidisciplinary</t>
  </si>
  <si>
    <t>Astronomy &amp; Astrophysics; Life Sciences &amp; Biomedicine - Other Topics; Geology</t>
  </si>
  <si>
    <t>541AK</t>
  </si>
  <si>
    <t>WOS:000273382800033</t>
  </si>
  <si>
    <t>Alekhina, I; Marie, D; Petit, JR; Lukin, V; Zubkov, V; Bulat, S</t>
  </si>
  <si>
    <t>Alekhina, I.; Marie, D.; Petit, J. -R.; Lukin, V.; Zubkov, V.; Bulat, S.</t>
  </si>
  <si>
    <t>Hydrocarbon rich extreme econiche established in the deepest ice borehole at Vostok, East Antarctica</t>
  </si>
  <si>
    <t>[Alekhina, I.; Bulat, S.] RAS, Petersburg Nucl Phys Inst, St Petersburg, Russia; [Alekhina, I.; Petit, J. -R.; Bulat, S.] CNRS, Lab Glaciol &amp; Geophys Environm, Grenoble, France; [Marie, D.] CNRS, Biol Stn, Roscoff, France; [Lukin, V.] Arctic &amp; Antarctic Res Inst, St Petersburg 199226, Russia; [Zubkov, V.] St Petersburg State Min Inst, St Petersburg, Russia</t>
  </si>
  <si>
    <t>Russian Academy of Sciences; National Research Centre - Kurchatov Institute; Petersburg Nuclear Physics Institute; Communaute Universite Grenoble Alpes; Universite Grenoble Alpes (UGA); Centre National de la Recherche Scientifique (CNRS); Centre National de la Recherche Scientifique (CNRS); Arctic &amp; Antarctic Research Institute; Saint Petersburg Mining University</t>
  </si>
  <si>
    <t>alekhina@lgge.obs.ujf-grenoble.fr</t>
  </si>
  <si>
    <t>Alekhina, Irina/L-2163-2016</t>
  </si>
  <si>
    <t>Alekhina, Irina/0000-0001-9820-8675</t>
  </si>
  <si>
    <t>WOS:000273382800082</t>
  </si>
  <si>
    <t>Montes-Hugo, MA; Vernet, M; Smith, R; Carder, K</t>
  </si>
  <si>
    <t>Montes-Hugo, M. A.; Vernet, M.; Smith, R.; Carder, K.</t>
  </si>
  <si>
    <t>Phytoplankton size-structure on the western shelf of the Antarctic Peninsula: a remote-sensing approach</t>
  </si>
  <si>
    <t>INTERNATIONAL JOURNAL OF REMOTE SENSING</t>
  </si>
  <si>
    <t>INHERENT OPTICAL-PROPERTIES; LIGHT-SCATTERING; BACKSCATTERING; ABSORPTION; SEA; CHLOROPHYLL; WATERS; MODEL; COLOR; ATTENUATION</t>
  </si>
  <si>
    <t>Remote-sensing models based on total (b(b)) and particle (b(bp)) backscattering are proposed for estimating phytoplankton size-structure characteristics over the Western Antarctic Peninsula (WAP) waters. It is hypothesized that phytoplankton assemblages with larger cells will have lower spectral b(b) and b(bp) slopes (gamma). Likewise, a higher concentrations of total chlorophyll a (chl(T)) will coincide with larger phytoplankton cells. Values of gamma(bbp), derived from satellite and in situ remote-sensing reflectance (R-rs) measurements were matched up with field determinations of chlorophyll a concentration fractions (chl((&gt;20 mu m)) and chl((0.45-20 mu m))) collected between 1997 and 2006 as part of the Palmer-LTER project. Functionalities between in situ measurements of gamma(bb) and chlorophyll a fractions were also investigated. A consistent inverse relationship between chl((&gt;20 mu m))/chlT and gamma (b(b) and b(bp)) values was found and verified with two approaches: spatial matchup of satellite monthly composites and time-space matchup of photosynthetic pigment markers. Based on satellite data, a gamma(bbp) value of 1.668 was a fair predictor to differentiate WAP waters dominated by 'large' (chl((&gt;20 mu m))/chl(T)&gt;= 0.5, gamma(bbp)&lt;= 1.668) vs 'small' (chl((&gt;20 mu m))/chl(T)&lt;0.5, gamma(bbp)&gt;1.668) phytoplankton cells. A significant negative linear relationship between 19'-butanoyloxyfucoxanthin, fucoxanthin, and gamma(bbp) values suggest that Phaeocystis aggregates and large diatoms (&gt;20 mu m) would explain most of the chl((&gt;20 mu m))/chl(T)-gamma variability. No relationships were evident between chl(T) values and gamma values. Although our results cannot be generalized to other oceanic regions, this work is the first to provide evidence about the significant influence of phytoplankton size distributions on spectral backscattering of WAP waters. Furthermore, and based on chlorophyll a fraction analysis, it was the &gt;20 mu m phytoplankton cells that were responsible for such gamma variations seen on satellite and in situ values.</t>
  </si>
  <si>
    <t>[Montes-Hugo, M. A.; Vernet, M.] Univ Calif San Diego, Scripps Inst Oceanog, Integrat Oceanog Div, La Jolla, CA 92093 USA; [Smith, R.] Univ Calif Santa Barbara, Dept Geog, Inst Computat Earth Syst Sci, Santa Barbara, CA 93106 USA; [Carder, K.] Univ S Florida, Dept Marine Sci, St Petersburg, FL 33701 USA</t>
  </si>
  <si>
    <t>University of California System; University of California San Diego; Scripps Institution of Oceanography; University of California System; University of California Santa Barbara; State University System of Florida; University of South Florida</t>
  </si>
  <si>
    <t>Montes-Hugo, MA (corresponding author), Univ Calif San Diego, Scripps Inst Oceanog, Integrat Oceanog Div, 9500 Gilman Dr, La Jolla, CA 92093 USA.</t>
  </si>
  <si>
    <t>mmontes@coast.ucsd.edu</t>
  </si>
  <si>
    <t>0143-1161</t>
  </si>
  <si>
    <t>1366-5901</t>
  </si>
  <si>
    <t>INT J REMOTE SENS</t>
  </si>
  <si>
    <t>Int. J. Remote Sens.</t>
  </si>
  <si>
    <t>10.1080/01431160701297615</t>
  </si>
  <si>
    <t>Remote Sensing; Imaging Science &amp; Photographic Technology</t>
  </si>
  <si>
    <t>251BY</t>
  </si>
  <si>
    <t>WOS:000252346800011</t>
  </si>
  <si>
    <t>Evtushevsky, O; Milinevsky, G; Grytsai, A; Kravchenko, V; Grytsai, Z; Leonov, M</t>
  </si>
  <si>
    <t>Evtushevsky, O.; Milinevsky, G.; Grytsai, A.; Kravchenko, V.; Grytsai, Z.; Leonov, M.</t>
  </si>
  <si>
    <t>Comparison of ground-based Dobson and satellite EP-TOMS total ozone measurements over Vernadsky station, Antarctica, 1996-2005</t>
  </si>
  <si>
    <t>PART II; ATHENS; PRECURSORS; DYNAMICS; GOME</t>
  </si>
  <si>
    <t>Total ozone content derived from version 8 of the Earth Probe Total Ozone Mapping Spectrometer (EP-TOMS) satellite data was compared with that from ground-based data obtained with the Dobson spectrophotometer no. 031 at the Ukrainian Antarctic Vernadsky station. The period of comparison is 1996-2005. The statistics for cloudy and clear sky observations are presented separately, in order to assess the influence of cloudiness on the difference between the satellite and ground-based measurements. The main findings obtained from the TOMS-Dobson difference analysis were: (i) a significant disagreement between clear and cloudy sky differences of about 9%, which is almost the same value as in version 7; and (ii) the difference for all data equals -2.0% (2625 days), whereas in cloudless and cloudy conditions the difference is 4.1% (137 days) and -4.5% (1048 days), respectively. We conclude that the TOMS (Dobson) measurements are mostly responsible for the data disagreement in clear (cloudy) sky conditions.</t>
  </si>
  <si>
    <t>[Evtushevsky, O.; Milinevsky, G.; Grytsai, A.; Kravchenko, V.; Grytsai, Z.; Leonov, M.] Natl Taras Shevchenko Univ Kyiv, Dept Space Phys &amp; Astron, UA-03680 Kiev, MSP, Ukraine</t>
  </si>
  <si>
    <t>Milinevsky, G (corresponding author), Natl Taras Shevchenko Univ Kyiv, Dept Space Phys &amp; Astron, 2 Akad Glushkov Av Bldg 1, UA-03680 Kiev, MSP, Ukraine.</t>
  </si>
  <si>
    <t>10.1080/01431160701767591</t>
  </si>
  <si>
    <t>292VL</t>
  </si>
  <si>
    <t>WOS:000255294100013</t>
  </si>
  <si>
    <t>Dyominov, IG; Zadorozhny, AM</t>
  </si>
  <si>
    <t>Dyominov, I. G.; Zadorozhny, A. M.</t>
  </si>
  <si>
    <t>Greenhouse gases and future long-term changes in the stratospheric temperature and the ozone layer</t>
  </si>
  <si>
    <t>2-DIMENSIONAL MODEL; MIDDLE ATMOSPHERE; SULFURIC-ACID; HETEROGENEOUS REACTIONS; NUMERICAL-MODEL; RADIATION; AEROSOLS; DYNAMICS; RECOVERY; SULFATE</t>
  </si>
  <si>
    <t>A numerical two-dimensional (2D) interactive dynamical-radiative-photochemical model including aerosol physics is used to examine the expected long-term changes in stratospheric temperature and the Earth's ozone layer due to anthropogenic pollution of the atmosphere by the greenhouse gases CO(2), CH(4) and N(2)O. The model time-dependent runs were made for the period from 1975 to 2050. The results of the calculations show that the basic mechanism by which greenhouse gases influence the ozone layer is stratospheric cooling accompanied by a weakness in the efficiency of the catalytic cycles of ozone destruction due to temperature dependencies of the photochemical gas-phase reactions. Modification of polar stratospheric clouds (PSCs) caused by anthropogenic growth of the greenhouse gases is important only for the polar ozone. An essential influence of the greenhouse gases on the ozone by a modification of the stratospheric sulphate aerosol is revealed. The aerosol changes caused by the greenhouse gases modify the distribution of the ozone-active gaseous chlorine, bromine and nitrogen components by means of heterogeneous reactions on the aerosol surface, resulting in a significant decrease in springtime polar ozone depletion of the Antarctic ozone hole.</t>
  </si>
  <si>
    <t>[Dyominov, I. G.; Zadorozhny, A. M.] Novosibirsk State Univ, Novosibirsk 630090, Russia</t>
  </si>
  <si>
    <t>Novosibirsk State University</t>
  </si>
  <si>
    <t>Zadorozhny, AM (corresponding author), Novosibirsk State Univ, Pirogova 2, Novosibirsk 630090, Russia.</t>
  </si>
  <si>
    <t>zadorozh@phys.nsu.ru</t>
  </si>
  <si>
    <t>Zadorozhny, Alexander/I-5903-2012</t>
  </si>
  <si>
    <t>Zadorozhny, Alexander/0000-0001-8538-0599</t>
  </si>
  <si>
    <t>10.1080/01431160701767583</t>
  </si>
  <si>
    <t>WOS:000255294100018</t>
  </si>
  <si>
    <t>Herzfeld, UC; McBride, PJ; Zwally, HJ; Dimarzio, J</t>
  </si>
  <si>
    <t>Herzfeld, Ute C.; McBride, Patrick J.; Zwally, H. Jay; Dimarzio, John</t>
  </si>
  <si>
    <t>Elevation changes in Pine Island Glacier, Walgreen Coast, Antarctica, based on GLAS (2003) and ERS-1 (1995) altimeter data analyses and glaciological implications</t>
  </si>
  <si>
    <t>WEST ANTARCTICA; ICE-SHEET; LANDSAT IMAGERY; MODEL</t>
  </si>
  <si>
    <t>The Geoscience Laser Altimeter System (GLAS) aboard ICESat, launched in January 2003, has been designed to detect and monitor changes in the cryosphere. The first objective of this paper is to present high-resolution ice-surface elevation maps derived from GLAS data, using geostatistical analysis. In a regional study of Walgreen Coast and Northern Ellsworth Land, West Antarctica, differences in the representation of geographic and morphologic features in maps based on ERS-1 radar altimeter data and on GLAS data are investigated, with the result that in particular in topographically complex coastal areas and the margin of the ice sheet the improvement in precision and accuracy of the laser altimeter is significant. A second, applied objective is to map elevation changes in Pine Island Glacier, a glacier that plays a key role in the question of stability of the West Antarctic Ice Sheet and has been changing rapidly in recent years. Results of elevation differencing of 2003-GLAS-data and 1995-ERS-1-radar-altimeter-data DEMs (1) show that thinning rates have been increasing and (2) are applied to attribute the observed changes in Pine Island Glacier to internal processes in the glacier, related to dynamic thinning. More generally, this application serves to demonstrate that GLAS data facilitate study of cryospheric change.</t>
  </si>
  <si>
    <t>[Herzfeld, Ute C.; McBride, Patrick J.] Univ Colorado, Cooperat Inst Res Environm Sci, Boulder, CO 80309 USA; [Zwally, H. Jay] NASA, Goddard Space Flight Ctr, Ice Branch, Greenbelt, MD 20771 USA; [Dimarzio, John] NASA, Goddard Space Flight Ctr, SGT Inc, Greenbelt, MD 20771 USA</t>
  </si>
  <si>
    <t>University of Colorado System; University of Colorado Boulder; National Aeronautics &amp; Space Administration (NASA); NASA Goddard Space Flight Center; Stinger Ghaffarian Technologies, Inc. (SGT); National Aeronautics &amp; Space Administration (NASA); NASA Goddard Space Flight Center</t>
  </si>
  <si>
    <t>Herzfeld, UC (corresponding author), Univ Colorado, Cooperat Inst Res Environm Sci, Boulder, CO 80309 USA.</t>
  </si>
  <si>
    <t>Herzfeld@tryfan.colorado.edu</t>
  </si>
  <si>
    <t>Herzfeld, Ute/AAE-5115-2019</t>
  </si>
  <si>
    <t>Herzfeld, Ute/0000-0002-5694-4698</t>
  </si>
  <si>
    <t>NASA [NNG04G062G]</t>
  </si>
  <si>
    <t>NASA(National Aeronautics &amp; Space Administration (NASA))</t>
  </si>
  <si>
    <t>Thanks to R. Schutz, University of Texas, for communication on ICESat GLAS data accuracy, and to R. Thomas, EG&amp;G, NASA Wallops Flight Facility, for discussion of the topographically induced artefacts in the GLAS data. Thanks to R. Parker, Institute of Geophysics and Planetary Physics, Scripps Institution of Oceanography, for a new subroutine for his plotting software colour, contour utilized in mapping. Work funded by NASA Cryospheric Sciences Program under grant NNG04G062G to UCH.</t>
  </si>
  <si>
    <t>10.1080/01431160802020510</t>
  </si>
  <si>
    <t>350PS</t>
  </si>
  <si>
    <t>WOS:000259366200006</t>
  </si>
  <si>
    <t>Gower, J; King, S; Goncalves, P</t>
  </si>
  <si>
    <t>Gower, J.; King, S.; Goncalves, P.</t>
  </si>
  <si>
    <t>Global monitoring of plankton blooms using MERIS MCI</t>
  </si>
  <si>
    <t>RADIANCE SPECTRA; NM; CHLOROPHYLL; WATER; PEAK</t>
  </si>
  <si>
    <t>The MERIS maximum chlorophyll index (MCI), measuring the radiance peak at 709 nm in water-leaving radiance, indicates the presence of a high surface concentration of chlorophyll a against a scattering background. The index is high in 'red tide' conditions (intense, visible, surface, plankton blooms) and is raised when aquatic vegetation is present. A bloom search based on the MCI has resulted in the detection of a variety of events in Canadian, Antarctic and other waters round the world, as well as detection of extensive areas of pelagic vegetation (Sargassum spp.), previously unreported in the scientific literature. Since 1 June 2006, global MCI composite images, at a spatial resolution of 5 km, are being produced daily from all MERIS (daylight) passes of reduced resolution (RR) data. The global composites significantly increase the area now being searched for events, although the reduced spatial resolution may cause smaller events to be missed. This paper describes the composites and gives examples of plankton bloom events that they have detected. It also shows how the composites are affected by the South Atlantic anomaly (SAA), where cosmic rays impact the detectors of the MERIS instrument.</t>
  </si>
  <si>
    <t>[Gower, J.; King, S.] Fisheries &amp; Oceans Canada, Inst Ocean Sci, Sidney, BC V8L 4B2, Canada; [Goncalves, P.] Terradue Srl, I-00131 Rome, Italy</t>
  </si>
  <si>
    <t>Fisheries &amp; Oceans Canada</t>
  </si>
  <si>
    <t>Gower, J (corresponding author), Fisheries &amp; Oceans Canada, Inst Ocean Sci, Sidney, BC V8L 4B2, Canada.</t>
  </si>
  <si>
    <t>jim.gower@dfo-mpo.gc.ca</t>
  </si>
  <si>
    <t>Goncalves, Pedro/0000-0003-0598-5059</t>
  </si>
  <si>
    <t>Fisheries and Oceans Canada; Canadian Space Agency; ESA; MERIS imagery</t>
  </si>
  <si>
    <t>Fisheries and Oceans Canada; Canadian Space Agency(Canadian Space Agency); ESA(European Space Agency); MERIS imagery</t>
  </si>
  <si>
    <t>This work was supported by Fisheries and Oceans Canada and by the Canadian Space Agency under the Government Related Initiative Program. Satellite imagery was provided by ESA under the Announcement of Opportunity program for scientific research applications of MERIS imagery.</t>
  </si>
  <si>
    <t>10.1080/01431160802178110</t>
  </si>
  <si>
    <t>364HG</t>
  </si>
  <si>
    <t>WOS:000260326200010</t>
  </si>
  <si>
    <t>Hong, SG; Lee, YK; Yim, JH; Chun, J; Lee, HK</t>
  </si>
  <si>
    <t>Hong, Soon Gyu; Lee, Yoo Kyung; Yim, Joung Han; Chun, Jongsik; Lee, Hong Kum</t>
  </si>
  <si>
    <t>Sanguibacter antarcticus sp nov., isolated from Antarctic sea sand</t>
  </si>
  <si>
    <t>INTERNATIONAL JOURNAL OF SYSTEMATIC AND EVOLUTIONARY MICROBIOLOGY</t>
  </si>
  <si>
    <t>SEQUENCES; TREES</t>
  </si>
  <si>
    <t>A Gram-positive, yellow-pigmented bacterium, strain KOPRI 21702(T), was isolated from sea sand on King George Island, Antarctica. Cells were irregular rods with peritrichous flagella; their optimum growth temperature was 23-26 degrees C. Phylogenetic analysis based on 16S rRNA gene sequences revealed that the Antarctic isolate formed a distinct phyletic line in a clade of the genus Sanguibacter and showed highest sequence similarity (97.7 %) to the type strain of Sanguibacter keddieii. The major isoprenoid quinone, predominant cellular fatty acids and DNA G + C content were consistent with placement of the Antarctic isolate in the genus Sanguibacter. Phylogenetic analysis and differences in physiological and biochemical characteristics between strain KOPRI 21702(T) and the four recognized Sanguibacter species indicate that the isolate represents a novel species of this genus. The name Sanguibacter antarcticus sp. nov. (type strain KOPRI 21702(T) = KCTC 13143(T) = JCM 14623(T) = DSM 18966(T)) is proposed for this isolate.</t>
  </si>
  <si>
    <t>[Hong, Soon Gyu; Lee, Yoo Kyung; Yim, Joung Han; Lee, Hong Kum] KORDI, Korea Polar Res Inst, Polar Bioctr, Inchon 406840, South Korea; [Chun, Jongsik] Seoul Natl Univ, Inst Microbiol, Sch Biol Sci, Seoul 151742, South Korea</t>
  </si>
  <si>
    <t>Korea Institute of Ocean Science &amp; Technology (KIOST); Korea Polar Research Institute (KOPRI); Seoul National University (SNU)</t>
  </si>
  <si>
    <t>Lee, HK (corresponding author), KORDI, Korea Polar Res Inst, Polar Bioctr, Songo-dong 7-50, Inchon 406840, South Korea.</t>
  </si>
  <si>
    <t>hklee@kopri.re.kr</t>
  </si>
  <si>
    <t>Chun, Jongsik/R-8458-2017</t>
  </si>
  <si>
    <t>Chun, Jongsik/0000-0003-3385-5171</t>
  </si>
  <si>
    <t>SOC GENERAL MICROBIOLOGY</t>
  </si>
  <si>
    <t>READING</t>
  </si>
  <si>
    <t>MARLBOROUGH HOUSE, BASINGSTOKE RD, SPENCERS WOODS, READING RG7 1AG, BERKS, ENGLAND</t>
  </si>
  <si>
    <t>1466-5026</t>
  </si>
  <si>
    <t>INT J SYST EVOL MICR</t>
  </si>
  <si>
    <t>Int. J. Syst. Evol. Microbiol.</t>
  </si>
  <si>
    <t>10.1099/ijs.0.65031-0</t>
  </si>
  <si>
    <t>261UE</t>
  </si>
  <si>
    <t>WOS:000253104700010</t>
  </si>
  <si>
    <t>Vöneky, S</t>
  </si>
  <si>
    <t>Konig, D; Stoll, PT; Roben, V; MatzLuck, N</t>
  </si>
  <si>
    <t>Voeneky, Silja</t>
  </si>
  <si>
    <t>The Liability Annex to the Protocol on Environmental Protection to the Antarctic Treaty</t>
  </si>
  <si>
    <t>INTERNATIONAL LAW TODAY: NEW CHALLENGES AND THE NEED FOR REFORM</t>
  </si>
  <si>
    <t>Max Planck Inst Comparat Publ Law &amp; Int Law, Independent Jr Res Grp, Heidelberg, Germany</t>
  </si>
  <si>
    <t>Max Planck Society</t>
  </si>
  <si>
    <t>Vöneky, S (corresponding author), Max Planck Inst Comparat Publ Law &amp; Int Law, Independent Jr Res Grp, Heidelberg, Germany.</t>
  </si>
  <si>
    <t>SPRINGER-VERLAG BERLIN</t>
  </si>
  <si>
    <t>BERLIN</t>
  </si>
  <si>
    <t>HEIDELBERGER PLATZ 3, D-14197 BERLIN, GERMANY</t>
  </si>
  <si>
    <t>978-3-540-75205-9</t>
  </si>
  <si>
    <t>10.1007/978-3-540-75205-9</t>
  </si>
  <si>
    <t>Law; Political Science</t>
  </si>
  <si>
    <t>Government &amp; Law</t>
  </si>
  <si>
    <t>BLM50</t>
  </si>
  <si>
    <t>WOS:000270539700009</t>
  </si>
  <si>
    <t>Keil, S; De Broyer, C; Zauke, GP</t>
  </si>
  <si>
    <t>Keil, Steffen; De Broyer, Claude; Zauke, Gerd-Peter</t>
  </si>
  <si>
    <t>Significance and interspecific variability of accumulated trace metal concentrations in antarctic benthic crustaceans</t>
  </si>
  <si>
    <t>INTERNATIONAL REVIEW OF HYDROBIOLOGY</t>
  </si>
  <si>
    <t>background concentrations; Cd-anomaly; Southern Ocean; Wedell Sea</t>
  </si>
  <si>
    <t>HYPERBOLIC TOXICOKINETIC MODELS; EUSIRUS-PERDENTATUS CHEVREUX; GREENLAND SEA COPEPOD; WEDDELL SEA; HEAVY-METALS; FEEDING-BEHAVIOR; BARENTS SEA; AMPHIPOD COLLECTIVES; REPRODUCTIVE-BIOLOGY; ATLANTIC-OCEAN</t>
  </si>
  <si>
    <t>Trace metals (Cd, Cu, Pb and Zn) were analysed in crustaceans collected on Polarstern cruises ANT XVI/2 (1999) and ANT XXI/2 (2003/04, BENDEX) to the Weddell Sea. Our study provides further evidence for the frequently reported Cd anomaly in polar crustaceans, with data ranging from 1.2 (Ceratoserolis trilobitoides) to 6.2 mg Cd kg(-1) DW (Notocrangon antarcticus) in 1999 and from 1.2 (Waldeckia obesa) to 20.3 mg Cd kg(-1) (Tryphosella murrayi) in 2003. Pb concentrations well below 1 mg kg(-1) in most of the samples analysed might serve as a regional or even global background value for comparison in biomonitoring studies. Increasing Cu concentrations from eggs of decapods (e.g., 5 vs. 51 mg kg(-1) in N. antarcticus) or juveniles in the brood pouch of an amphipod species to adult females indicate that the enzymatic requirements and haemocyanin component demand for Cu in early life-history stages is probably not met without a distinct bioaccumulation of this essential element after hatching. Most interestingly, Cd also increases (&lt; 0.1 vs. 6.2 mg kg-1 in N. antarcticus). This could be the consequence of efficient uptake mechanisms for Cu that cannot discriminate between this element and Cd. Cu and Zn concentrations in decapods of this study are largely within the range reported worldwide (40-90 mg Cu kg(-1) and 40-80 mg Zn kg(-1)), indicating that these elements are regulated. The enormous heterogeneity of Cd and Zn in many amphipod species investigated (e.g., from 0.6 in Gnathiphimedia mandibularis to 34.4 mg Cd kg(-1) in Orchomenopsis acanthura and from 41 in Eusirus antarcticus to 1244 mg Zn kg(-1) in Iphimediella bransfieldi) supports the hypothesis of the Cd anomaly and suggests that there is probably no consistent metabolic demand for the essential element Zn in this taxonomic group. The heterogeneity of Cu in amphipods is less pronounced.</t>
  </si>
  <si>
    <t>[Keil, Steffen; Zauke, Gerd-Peter] Carl VonOssietzky Univ Oldenburg, ICBM, D-26111 Oldenburg, Germany; [De Broyer, Claude] Inst Royal Sci Nat Belgique, Dept Invertebres Carcinol, B-1000 Brussels, Belgium</t>
  </si>
  <si>
    <t>Carl von Ossietzky Universitat Oldenburg</t>
  </si>
  <si>
    <t>Zauke, GP (corresponding author), Carl VonOssietzky Univ Oldenburg, ICBM, Postfach 2503, D-26111 Oldenburg, Germany.</t>
  </si>
  <si>
    <t>gerd.p.zauke@uni-oldenburg.de</t>
  </si>
  <si>
    <t>MALDEN</t>
  </si>
  <si>
    <t>COMMERCE PLACE, 350 MAIN ST, MALDEN 02148, MA USA</t>
  </si>
  <si>
    <t>1434-2944</t>
  </si>
  <si>
    <t>INT REV HYDROBIOL</t>
  </si>
  <si>
    <t>Int. Rev. Hydrobiol.</t>
  </si>
  <si>
    <t>10.1002/iroh.200711006</t>
  </si>
  <si>
    <t>266TF</t>
  </si>
  <si>
    <t>WOS:000253459200007</t>
  </si>
  <si>
    <t>Paltridge, GW</t>
  </si>
  <si>
    <t>Ragaini, R</t>
  </si>
  <si>
    <t>Paltridge, Garth W.</t>
  </si>
  <si>
    <t>SCIENTIFIC QUESTIONS BEHIND THE ARGUMENTS CONCERNING THE ROBUSTNESS OF CLIMATE MODELS</t>
  </si>
  <si>
    <t>INTERNATIONAL SEMINAR ON NUCLEAR WAR AND PLANETARY EMERGENCIES - 38TH SESSION</t>
  </si>
  <si>
    <t>Science and Culture Series-Nuclear Strategy and Peace Technology</t>
  </si>
  <si>
    <t>38th International Seminar on Nuclear War and Planetary Emergencies</t>
  </si>
  <si>
    <t>AUG 19-24, 2007</t>
  </si>
  <si>
    <t>Erice, ITALY</t>
  </si>
  <si>
    <t>[Paltridge, Garth W.] Univ Tasmania, Inst Antarctic &amp; So Ocean Studies, Hobart, Tas 7001, Australia</t>
  </si>
  <si>
    <t>WORLD SCIENTIFIC PUBL CO PTE LTD</t>
  </si>
  <si>
    <t>SINGAPORE</t>
  </si>
  <si>
    <t>PO BOX 128 FARRER RD, SINGAPORE 9128, SINGAPORE</t>
  </si>
  <si>
    <t>978-981-283-463-8</t>
  </si>
  <si>
    <t>SCI CULT-NUCL STRAT</t>
  </si>
  <si>
    <t>10.1142/9789812834645_0026</t>
  </si>
  <si>
    <t>Environmental Sciences; Environmental Studies; Meteorology &amp; Atmospheric Sciences; Neurosciences; Regional &amp; Urban Planning</t>
  </si>
  <si>
    <t>Environmental Sciences &amp; Ecology; Meteorology &amp; Atmospheric Sciences; Neurosciences &amp; Neurology; Public Administration</t>
  </si>
  <si>
    <t>BIJ75</t>
  </si>
  <si>
    <t>WOS:000260159500026</t>
  </si>
  <si>
    <t>Haig, JA; Rouse, GW</t>
  </si>
  <si>
    <t>Haig, Jodie A.; Rouse, Greg W.</t>
  </si>
  <si>
    <t>Larval development of the featherstar Aporometra wilsoni (Echinodermata: Crinoidea)</t>
  </si>
  <si>
    <t>INVERTEBRATE BIOLOGY</t>
  </si>
  <si>
    <t>reproduction; comatulid; brooding; limited dispersal</t>
  </si>
  <si>
    <t>FINE-STRUCTURE; SPERMATOZOON</t>
  </si>
  <si>
    <t>Larval development of a small ovoviviparous comatulid crinoid, Aporometra wilsoni, was investigated using a population from South Australia. The genital pinnules of reproductive females each contain an ovary, within which are oocytes of various stages. Generally, one or more developing larvae lie outside the ovary, but within each pinnule. Larvae pass through uniformly ciliated and doliolaria stages before they exit the pinnule via the genital pore. The doliolariae lack the usual ciliary bands and are unable to swim. Doliolariae dissected from pinnules were followed through metamorphosis to the cystidean stage until the pentacrinoid larval stage. While previous reports on Aporometra have noted pentacrinoids attached to the female, virtually no pentacrinoids were found attached to any of the hundreds of adult females observed during this study. Females sampled from the mid-reproductive season (September and October) were found to bear &gt; 2500 developing eggs and larvae at a time. It appears that emerging doliolariae fall from the female and attach to other substrates to complete development. Aporometra is classified in Notocrinida with the Antarctic crinoid Notocrinus. This classification is based in part on their supposedly homologous larval brooding. However, the reproductive mechanism in A. wilsoni is quite different from Notocrinus, calling into question their current status as sister taxa.</t>
  </si>
  <si>
    <t>[Haig, Jodie A.] Griffith Univ, Griffith, Qld 4222, Australia; [Rouse, Greg W.] Univ Calif San Diego, Scripps Inst Oceanog, La Jolla, CA 92093 USA</t>
  </si>
  <si>
    <t>Griffith University; University of California System; University of California San Diego; Scripps Institution of Oceanography</t>
  </si>
  <si>
    <t>Haig, JA (corresponding author), Griffith Univ, Gold Coast Campus, Griffith, Qld 4222, Australia.</t>
  </si>
  <si>
    <t>j.haig@griffith.edu.au</t>
  </si>
  <si>
    <t>Rouse, Greg W/F-2611-2010; Rouse, Gregory/AAW-1494-2021</t>
  </si>
  <si>
    <t>Rouse, Greg W/0000-0001-9036-9263; Rouse, Gregory/0000-0001-9036-9263; Haig, Jodie Ann/0000-0002-8031-3212</t>
  </si>
  <si>
    <t>University of Adelaide; Nature Foundation, South Australia.</t>
  </si>
  <si>
    <t>Thanks are due to Bronwyn Gillanders for her co-supervision and also to Leslie Alton, Elisa Sparrow, James Weedon, and Nerida Wilson for field assistance. The staff at Adelaide Microscopy provided valuable assistance with SEM. Funding was provided by the University of Adelaide and The Nature Foundation, South Australia.</t>
  </si>
  <si>
    <t>1077-8306</t>
  </si>
  <si>
    <t>INVERTEBR BIOL</t>
  </si>
  <si>
    <t>Invertebr. Biol.</t>
  </si>
  <si>
    <t>10.1111/j.1744-7410.2008.00134.x</t>
  </si>
  <si>
    <t>Marine &amp; Freshwater Biology; Zoology</t>
  </si>
  <si>
    <t>381II</t>
  </si>
  <si>
    <t>WOS:000261528900011</t>
  </si>
  <si>
    <t>Yue, YC; Chen, CM; Wu, BP; Lai, ZL</t>
  </si>
  <si>
    <t>Li, G</t>
  </si>
  <si>
    <t>Yue, Yingchun; Chen, Chunming; Wu, Beiping; Lai, Zulong</t>
  </si>
  <si>
    <t>Studies on Remote Sensing Atmospheric Water Vapor Content in Antarctic Using GPS Technology</t>
  </si>
  <si>
    <t>ITESS: 2008 PROCEEDINGS OF INFORMATION TECHNOLOGY AND ENVIRONMENTAL SYSTEM SCIENCES, PT 1</t>
  </si>
  <si>
    <t>International Conference on Informational Technology and Environmental System Science</t>
  </si>
  <si>
    <t>MAY 15-17, 2008</t>
  </si>
  <si>
    <t>Henan Polytechn Univ, Jiaozuo, PEOPLES R CHINA</t>
  </si>
  <si>
    <t>Henan Polytechn Univ</t>
  </si>
  <si>
    <t>Ground-based GPS; GAMIT/GLOBK; Zenith total delay; Zenith hydrostatic delay; Zenith wet delay; PWV</t>
  </si>
  <si>
    <t>METEOROLOGY</t>
  </si>
  <si>
    <t>With the growing maturity of GPS technology, its application field has gradually penetrated into other disciplines, among which GPS meteorology has become a new discipline. Especially, with the gradual establishment and perfection of reference station network throughout the world, the application of ground-based GPS meteorology in all localities gradually becomes universal, but the application in Antarctic is rarely involved. Because water vapor in atmosphere plays an important role, which is of the utmost importance for the weather change, climatic studies and weather forecasting business, at the same time, the change in Antarctic weather has a direct impact on the global climate, studying on atmospheric water vapor content in Antarctic will be a concern focus. In this paper, GPS data of the international joint observation in the Antarctic Great Wall station in 2006, data of neighboring IGS tracking station and ephemeris data are used to solve the tropospheric zenith total delay on Great Wall station by high-precision software-GAMIT / GLOBK developed by the Massachusetts Institute of Technology according to the best network program. The zenith total delay can be divided into zenith hydrostatic delay (zenith dry delay) and the zenith wet delay. According to the meteorological data of surface observation and improving Hopfield model suitable for the local area, the zenith dry delay can be computed. Then the wet delay is separable from the zenith total delay. The wet delay is used to calculate precipitable water vapor (PWV) using conversion coefficient computed by local model of weighted mean temperature. Finally the PWV computed is compared with the actual precipitation, and the theory and methods of improving precision of PWV are studied to draw useful conclusions.</t>
  </si>
  <si>
    <t>[Yue, Yingchun] Wuhan Univ, Sch Geodesy &amp; Geomat, Wuhan 430079, Peoples R China</t>
  </si>
  <si>
    <t>Wuhan University</t>
  </si>
  <si>
    <t>Yue, YC (corresponding author), Wuhan Univ, Sch Geodesy &amp; Geomat, Wuhan Luoyu Rd 129, Wuhan 430079, Peoples R China.</t>
  </si>
  <si>
    <t>PUBLISHING HOUSE ELECTRONICS INDUSTRY</t>
  </si>
  <si>
    <t>PO BOX 173 WANSHOU ROAD, BEIJING 100036, PEOPLES R CHINA</t>
  </si>
  <si>
    <t>978-7-121-06323-7</t>
  </si>
  <si>
    <t>Computer Science, Information Systems; Computer Science, Software Engineering; Computer Science, Theory &amp; Methods; Engineering, Environmental; Engineering, Electrical &amp; Electronic</t>
  </si>
  <si>
    <t>Computer Science; Engineering</t>
  </si>
  <si>
    <t>BIL12</t>
  </si>
  <si>
    <t>WOS:000260457000093</t>
  </si>
  <si>
    <t>Verde, C; Giordano, D; di Prisco, G</t>
  </si>
  <si>
    <t>Verde, Cinzia; Giordano, Daniela; di Prisco, Guido</t>
  </si>
  <si>
    <t>The adaptation of polar fishes to climatic changes: Structure, function and phylogeny of haemoglobin</t>
  </si>
  <si>
    <t>IUBMB LIFE</t>
  </si>
  <si>
    <t>polar fishes; adaptation to climatic changes; haemoglobin; structure; function; phylogeny</t>
  </si>
  <si>
    <t>ANTARCTIC NOTOTHENIOID FISHES; DISTINCT HEMOGLOBINS; GLOBIN GENES; EVOLUTION; ICEFISHES; MITOCHONDRIAL; EXPRESSION; REMNANTS; TELEOST; BIOLOGY</t>
  </si>
  <si>
    <t>In the Antarctic, fishes of dominant suborder Notothenioidei have evolved in a unique thermal scenario. Phylogenetically related taxa of the suborder live in a wide range of latitudes, in Antarctic, sub-Antarctic and temperate oceans. Consequently, they offer a remarkable opportunity to study the physiological and biochemical characters gained and, conversely, lost during their evolutionary history. The evolutionary perspective has also been pursued by comparative studies of some features of the heme protein devoted to 02 transport in fish living in the other polar region, the Arctic. The two polar regions differ by age and isolation. Fish living in each habitat have undergone regional constraints and fit into different evolutionary histories. The aim of this contribution is to survey the current knowledge of molecular structure, functional features, phylogeny and adaptations of the haemoglobins of fish thriving in the Antarctic, sub-Antarctic and Arctic regions (with some excursions in the temperate latitudes), in search of insights into the convergent processes evolved in response to cooling. Current climate change may disturb adaptation, calling for strategies aimed at neutralising threats to biodiversity. (C) 2007 IUBMB.</t>
  </si>
  <si>
    <t>[Verde, Cinzia; Giordano, Daniela; di Prisco, Guido] CNR, Inst Protein Biochem, I-80131 Naples, Italy</t>
  </si>
  <si>
    <t>Consiglio Nazionale delle Ricerche (CNR); Istituto di Biochimica delle Proteine (IBP-CNR)</t>
  </si>
  <si>
    <t>di Prisco, G (corresponding author), CNR, Inst Protein Biochem, Via Pietro Castellino 111, I-80131 Naples, Italy.</t>
  </si>
  <si>
    <t>g.diprisco@ibp.cnr.it</t>
  </si>
  <si>
    <t>Giordano, Daniela/AFK-7772-2022</t>
  </si>
  <si>
    <t>Giordano, Daniela/0000-0002-8891-6245; VERDE, Cinzia/0000-0001-6185-282X</t>
  </si>
  <si>
    <t>1521-6543</t>
  </si>
  <si>
    <t>IUBMB Life</t>
  </si>
  <si>
    <t>10.1002/iub.1</t>
  </si>
  <si>
    <t>Biochemistry &amp; Molecular Biology; Cell Biology</t>
  </si>
  <si>
    <t>253MJ</t>
  </si>
  <si>
    <t>WOS:000252522000005</t>
  </si>
  <si>
    <t>Brown, IA; Sandgren, E</t>
  </si>
  <si>
    <t>Brown, Ian A.; Sandgren, Erik</t>
  </si>
  <si>
    <t>Investigation of the spatial variations in synthetic aperture radar backscatter in western Dronning Maud Land, Antarctica</t>
  </si>
  <si>
    <t>JOURNAL OF APPLIED REMOTE SENSING</t>
  </si>
  <si>
    <t>synthetic aperture radar; backscatter; backscatter modeling; Antarctica; ice sheet</t>
  </si>
  <si>
    <t>MASS-BALANCE; WET SNOW; ICE; GREENLAND; ACCUMULATION; VARIABILITY; PENETRATION; RETRIEVAL</t>
  </si>
  <si>
    <t>C-band SAR observations show that backscatter varies significantly across small scales (tens of kilometers) in western Dronning Maud Land. Generally, backscatter was found to diminish with altitude reflecting lower accumulation and reduced ice inclusions in the firn of the percolation zone at higher elevations. Reference to (incomplete) mass balance data suggests an anticorrelation between backscatter and net balance, although more data are needed to confirm the trend. Even within the percolation zone, areas of low backscatter (&lt; -12 dB) exist. These are uncorrelated with altitude above sea level. Using a Rayleigh backscatter model, we show that backscatter over such regions may represent differences in grain sizes. The application of a buried-layers model did not accurately estimate backscatter from these regions. We suggest that these regions occupy exposed positions subject to increased wind sublimation which, in turn, results in smaller grain sizes in the firn and therefore reduced backscatter. The Radarsat Antarctica Mapping Mission SAR mosaic indicates such regions occur in Coates Land, near the edge of the Antarctic Plateau, and on exposed promontories elsewhere in East Antarctica. More information regarding the structure of the firn and the mass balance of the region is needed before we can definitively explain controls on backscatter and understand the climatology of the low backscatter zones.</t>
  </si>
  <si>
    <t>[Brown, Ian A.; Sandgren, Erik] Stockholm Univ, Dept Phys Geog &amp; Quaternary Geol, S-10691 Stockholm, Sweden</t>
  </si>
  <si>
    <t>Stockholm University</t>
  </si>
  <si>
    <t>Brown, IA (corresponding author), Stockholm Univ, Dept Phys Geog &amp; Quaternary Geol, S-10691 Stockholm, Sweden.</t>
  </si>
  <si>
    <t>Ian.Brown@natgeo.su.se; Erik.Sandgren@pointer.se</t>
  </si>
  <si>
    <t>Swedish National Space Board</t>
  </si>
  <si>
    <t>Swedish National Space Board(Swedish National Space Agency (SNSA))</t>
  </si>
  <si>
    <t>Part of this research was supported by the Swedish National Space Board. ERS SAR data were provided by the European Space Agency and the Radarsat data by the Alaska Satellite Facility; to whom the authors are grateful. We are also grateful for the MOA data acquired from the National Snow and Ice Data Center.</t>
  </si>
  <si>
    <t>SPIE-SOC PHOTO-OPTICAL INSTRUMENTATION ENGINEERS</t>
  </si>
  <si>
    <t>1000 20TH ST, PO BOX 10, BELLINGHAM, WA 98225 USA</t>
  </si>
  <si>
    <t>1931-3195</t>
  </si>
  <si>
    <t>J APPL REMOTE SENS</t>
  </si>
  <si>
    <t>J. Appl. Remote Sens.</t>
  </si>
  <si>
    <t>10.1117/1.2902319</t>
  </si>
  <si>
    <t>Environmental Sciences; Remote Sensing; Imaging Science &amp; Photographic Technology</t>
  </si>
  <si>
    <t>Environmental Sciences &amp; Ecology; Remote Sensing; Imaging Science &amp; Photographic Technology</t>
  </si>
  <si>
    <t>417AG</t>
  </si>
  <si>
    <t>WOS:000264046200015</t>
  </si>
  <si>
    <t>Lantz, K; Disterhoft, P; Slusser, J; Gao, W; Berndt, J; Bernhard, G; Bloms, S; Booth, R; Ehramjian, J; Harrison, L; Janson, G; Johnston, P; Kiedron, P; McKenzie, R; Kimlin, M; Neale, P; O'Neill, M; Quang, VV; Seckmeyer, G; Taylor, T; Wuttke, S; Michalsky, J</t>
  </si>
  <si>
    <t>Lantz, Kathleen; Disterhoft, Patrick; Slusser, James; Gao, Wei; Berndt, Jerry; Bernhard, Germar; Bloms, Sarah; Booth, Rocky; Ehramjian, James; Harrison, Lee; Janson, George; Johnston, Paul; Kiedron, Piotr; McKenzie, Richard; Kimlin, Michael; Neale, Patrick; O'Neill, Michael; Quang, Vi V.; Seckmeyer, Gunther; Taylor, Thomas; Wuttke, Sigrid; Michalsky, Joseph</t>
  </si>
  <si>
    <t>2003 North American interagency intercomparison of ultraviolet spectroradiometers: scanning and spectrograph instruments</t>
  </si>
  <si>
    <t>spectroradiometer; filter radiometer; ultraviolet; intercomparison</t>
  </si>
  <si>
    <t>SHADOW-BAND RADIOMETER; COLUMN OZONE; CALIBRATION; IRRADIANCE; NETWORK; BREWER</t>
  </si>
  <si>
    <t>The fifth North American Intercomparison of Ultraviolet Monitoring Spectroradiometers was held June 13 to 21, 2003 at Table Mountain outside of Boulder, Colorado, USA. The main purpose of the Intercomparison was to assess the ability of spectroradiometers to accurately measure solar ultraviolet irradiance, and to compare the results between instruments of different monitoring networks. This Intercomparison was coordinated by NOAA and included participants from six national and international agencies. The UV measuring instruments included scanning spectroradiometers, spectrographs, and multi-filter radiometers. Synchronized spectral scans of the solar irradiance were performed between June 16 and 20, 2003. The spectral responsivities were determined for each instrument using the participants' lamps and calibration procedures and with NOAA/CUCF standard lamps. This paper covers the scanning spectroradiometers and the one spectrograph. The solar irradiance measurements from the different instruments were deconvolved using a high resolution extraterrestrial solar irradiance and reconvolved with a 1-nm triangular band-pass to account for differences in the bandwidths of the instruments. The measured solar irradiance from the spectroradiometers using the rivmSHIC algorithm on a clear-sky day on DOY 172 at 17.0 UTC (SZA = 30 degrees) had a relative 1-sigma standard deviation of +/-2.6 to 3.4% for 300- to 360-nm using the participants' calibration.</t>
  </si>
  <si>
    <t>[Lantz, Kathleen; Disterhoft, Patrick; Bloms, Sarah; Kiedron, Piotr; O'Neill, Michael] Univ Colorado, Cooperat Inst Res Environm Studies, Boulder, CO 80309 USA; [Berndt, Jerry; Harrison, Lee; Kiedron, Piotr] SUNY Albany, Atmospher Sci Res Ctr, Albany, NY 12203 USA; [Bernhard, Germar; Booth, Rocky; Ehramjian, James; Quang, Vi V.] Biospher Inc, San Diego, CA 92110 USA; [Johnston, Paul; McKenzie, Richard] Natl Inst Water &amp; Atmospher Res, Lauder, New Zealand; [Slusser, James; Gao, Wei; Janson, George] Colorado State Univ, USDA, UV B Monitoring &amp; Res Program, Ft Collins, CO 80523 USA; [Michalsky, Joseph] NOAA, Earth Syst Res Lab, Boulder, CO 80303 USA; [Kimlin, Michael; Taylor, Thomas] Univ Georgia, Natl Ultraviolet Monitoring Ctr, Athens, GA 30602 USA; [Neale, Patrick] Smithsonian Environm Res Ctr, Edgewater, MD 21037 USA; [Seckmeyer, Gunther; Wuttke, Sigrid] Leibniz Univ Hannover, Inst Meteorol &amp; Climatol, D-30419 Hannover, Germany; [Kimlin, Michael] Queensland Univ Technol, Australian Sun &amp; Hlth Res, Brisbane, Qld 4001, Australia</t>
  </si>
  <si>
    <t>University of Colorado System; University of Colorado Boulder; State University of New York (SUNY) System; State University of New York (SUNY) Albany; National Institute of Water &amp; Atmospheric Research (NIWA) - New Zealand; Colorado State University; United States Department of Agriculture (USDA); National Oceanic Atmospheric Admin (NOAA) - USA; University System of Georgia; University of Georgia; Smithsonian Institution; Smithsonian Environmental Research Center; Leibniz University Hannover; Queensland University of Technology (QUT)</t>
  </si>
  <si>
    <t>Lantz, K (corresponding author), Univ Colorado, Cooperat Inst Res Environm Studies, Boulder, CO 80309 USA.</t>
  </si>
  <si>
    <t>Michalsky, Joseph J/JDW-2644-2023; Gao, Wei/GXH-0380-2022; Gao, Wei/HLH-2787-2023; Lantz, Kathleen/JDV-7677-2023; Bernhard, Germar H/B-4460-2018; Neale, Patrick/A-3683-2012; Bernhard, Germar/AAZ-7169-2020; Taylor, Tommy E/E-2544-2016</t>
  </si>
  <si>
    <t>Michalsky, Joseph J/0000-0002-7642-6396; Lantz, Kathleen/0000-0001-9515-160X; Bernhard, Germar/0000-0002-1264-0756; Neale, Patrick/0000-0002-4047-8098; McKenzie, Richard Lloyd/0000-0002-4484-7057; Kimlin, Michael/0000-0002-9536-8646</t>
  </si>
  <si>
    <t>U. S. Environmental Protection Agency Assistance; US Department of Agriculture UV-B Monitoring; Research Program [2003-34263-13509, 2004-34263-14270]</t>
  </si>
  <si>
    <t>U. S. Environmental Protection Agency Assistance(United States Environmental Protection Agency); US Department of Agriculture UV-B Monitoring(United States Department of Agriculture (USDA)); Research Program</t>
  </si>
  <si>
    <t>Operation of the National Science Foundation's Polar Ultraviolet Monitoring Network, along with participation in this Intercomparison, was funded from Antarctic Support Associates at the National Science Foundation, Office of Polar Programs. Operation of the National Ultraviolet Monitoring Network, along with participation in this Intercomparison, was funded through the U. S. Environmental Protection Agency Assistance. Development of the U111 Ultraviolet Scanning Radiometer, participation in this Intercomparison, and operation of the USDA UV Network was funded by the US Department of Agriculture UV-B Monitoring and Research Program through contracts 2003-34263-13509 and 2004-34263-14270 under the direction of Dr. Daniel Schmoldt.</t>
  </si>
  <si>
    <t>10.1117/1.3040299</t>
  </si>
  <si>
    <t>WOS:000264046200051</t>
  </si>
  <si>
    <t>Tratt, DM; Neff, JM; Valinia, A</t>
  </si>
  <si>
    <t>Tratt, David M.; Neff, Jon M.; Valinia, Azita</t>
  </si>
  <si>
    <t>Analysis of laser remote sensing technology needs in the Earth sciences: a decadal-scale outlook</t>
  </si>
  <si>
    <t>Lidar; laser radar; laser altimetry; Earth remote sensing; societal impacts</t>
  </si>
  <si>
    <t>ANTARCTIC ICE; SPACE; LIDAR; PREDICTION; WEATHER</t>
  </si>
  <si>
    <t>In late 2005 the NASA Earth Science Technology Office convened a working group to review decadal-term technology needs for Earth science active optical remote sensing objectives. The outcome from this effort is intended to guide future NASA investments in laser remote sensing technologies. This paper summarizes the working group findings and places them in context with the conclusions of the National Research Council assessment of future Earth science and applications requirements, completed in 2007.</t>
  </si>
  <si>
    <t>[Tratt, David M.; Neff, Jon M.] Aerosp Corp Civil &amp; Commercial Operat, Pasadena, CA 91101 USA; [Valinia, Azita] NASA, Goddard Space Flight Ctr, Sci &amp; Explorat Directorate, Greenbelt, MD 20771 USA</t>
  </si>
  <si>
    <t>Tratt, DM (corresponding author), Aerosp Corp Civil &amp; Commercial Operat, 200 S Los Robles Ave,Suite 150, Pasadena, CA 91101 USA.</t>
  </si>
  <si>
    <t>david.tratt@aero.org; jon.neff@aero.org; azita.valinia@nasa.gov</t>
  </si>
  <si>
    <t>Tratt, David M/A-7884-2009</t>
  </si>
  <si>
    <t>Tratt, David M/0000-0002-3942-6848</t>
  </si>
  <si>
    <t>10.1117/1.3036940</t>
  </si>
  <si>
    <t>WOS:000264046200050</t>
  </si>
  <si>
    <t>Liu, HW; Li, JK; Zhang, DW; Zhang, JC; Wang, NL; Cai, GP; Yao, XS</t>
  </si>
  <si>
    <t>Liu, Hong-Wei; Li, Jian-Kuan; Zhang, Da-Wei; Zhang, Jing-Chao; Wang, Nai-Li; Cai, Guo-Ping; Yao, Xin-Sheng</t>
  </si>
  <si>
    <t>Two new steroidal compounds from starfish Asterias amurensis Lutken</t>
  </si>
  <si>
    <t>JOURNAL OF ASIAN NATURAL PRODUCTS RESEARCH</t>
  </si>
  <si>
    <t>starfish; Asteria amurensis; steroid; UMR106 cell proliferation</t>
  </si>
  <si>
    <t>ANTARCTIC STARFISH; OLIGOGLYCOSIDES; GLYCOSIDES</t>
  </si>
  <si>
    <t>Two new sulfated steroidal compounds (1 and 2), along with three known steroidal saponins (3, 4, and 5) were isolated from the starfish Asterias amurensis Lutken. The structures of new compounds were elucidated as 3 beta-O-sulfated-cholest-5-ene-7 alpha-ol (1) and (E) 25-O-beta-D-xylopyranosyl-26, 27-dinor-24(S)-methyl-22-ene-15 alpha-O-sulfated-5 alpha-cholest-3 beta,6 alpha-ol (2) by extensive NMR experiments and chemical evidence. Their effects on UMR106 cell proliferation were screened by MTT method. The results indicated that compounds 2 and 2a (0.01-100 mu M) significantly promoted the osteoblastic proliferation. The initial structure activity relationship analysis suggests that the sugar moiety is the necessary group for the activity.</t>
  </si>
  <si>
    <t>[Liu, Hong-Wei] Capital Med Univ, Sch Chem Biol &amp; Pharmaceut Sci, Beijing 100069, Peoples R China; [Liu, Hong-Wei; Cai, Guo-Ping] Tsinghua Univ, Grad Sch Shenzhen, Div Life Sci, Shenzhen 518057, Peoples R China; [Li, Jian-Kuan] Shanxi Med Univ, Sch Pharmaceut Sci, Taiyuan 030001, Peoples R China; [Li, Jian-Kuan; Zhang, Da-Wei; Wang, Nai-Li; Yao, Xin-Sheng] Shenyang Pharmaceut Univ, Dept Nat Product Chem, Shenyang 110016, Peoples R China; [Zhang, Da-Wei; Wang, Nai-Li; Yao, Xin-Sheng] Tsinghua Univ Shenzhen, Key Iab Res &amp; Dev Tradit Chinese Med &amp; Nat Prod, Res Inst, Shenzhen 518057, Peoples R China; [Zhang, Jing-Chao] Hebei Univ, Coll Chem Envirom Sci, Baoding 071002, Peoples R China</t>
  </si>
  <si>
    <t>Capital Medical University; Tsinghua University; Tsinghua Shenzhen International Graduate School; Shanxi Medical University; Shenyang Pharmaceutical University; Tsinghua Shenzhen International Graduate School; Tsinghua University; Hebei University</t>
  </si>
  <si>
    <t>Liu, HW (corresponding author), Capital Med Univ, Sch Chem Biol &amp; Pharmaceut Sci, Beijing 100069, Peoples R China.</t>
  </si>
  <si>
    <t>liuhongwei60@yahoo.com.cn; yaoxinsheng@vip.tom.com</t>
  </si>
  <si>
    <t>Jiankuan, Li/J-7237-2019</t>
  </si>
  <si>
    <t>Jiankuan, Li/0000-0001-5615-9588</t>
  </si>
  <si>
    <t>1028-6020</t>
  </si>
  <si>
    <t>J ASIAN NAT PROD RES</t>
  </si>
  <si>
    <t>J. Asian Nat. Prod. Res.</t>
  </si>
  <si>
    <t>10.1080/10286020801966674</t>
  </si>
  <si>
    <t>Plant Sciences; Chemistry, Applied; Chemistry, Medicinal; Pharmacology &amp; Pharmacy</t>
  </si>
  <si>
    <t>Science Citation Index Expanded (SCI-EXPANDED); Index Chemicus (IC)</t>
  </si>
  <si>
    <t>Plant Sciences; Chemistry; Pharmacology &amp; Pharmacy</t>
  </si>
  <si>
    <t>321YC</t>
  </si>
  <si>
    <t>WOS:000257341400007</t>
  </si>
  <si>
    <t>Ellis-Evans, C; Walter, N</t>
  </si>
  <si>
    <t>Ellis-Evans, Cynan; Walter, Nicolas</t>
  </si>
  <si>
    <t>CAREX Consortium</t>
  </si>
  <si>
    <t>Coordination action for research activities on life in extreme environments - The CAREX project</t>
  </si>
  <si>
    <t>JOURNAL OF BIOLOGICAL RESEARCH-THESSALONIKI</t>
  </si>
  <si>
    <t>life in extreme environments; networking; coordination; research agenda; project</t>
  </si>
  <si>
    <t>Life, as we know it, is constrained by various environmental parameters ( physical and chemical) and these vary both in space and time. Combinations of specific ranges for each of these parameters within a particular area define biotopes or environmental conditions. Environments where one or more of the these parameters show values permanently close to the lower or upper limits known for life are considered extreme environments. In 2003, the European Science Foundation ( ESF) initiated a new research support activity  Investigating Life in Extreme Environments ( ILEE). The key event of this initiative was an interdisciplinary workshop held in November 2005 and attended by 128 European scientists. The headline conclusions of this initiative expressed the need for a more coordinated approach to improved future opportunities for funding research on life in extreme environments. It was emphasised that such an approach should be interdisciplinary. The CAREX project ( Coordination Action for Research Activities on life in Extreme Environments) is an FP7 Coordination Action funded for three years ( 2008- 2010) in the field of life in extreme environments. This interdisciplinary project will i) set up an interactive information platform, ii) develop open databases gathering information on life in extreme environments experts, research projects and specific infrastructures and technologies, iii) identify research priorities in order to define a European roadmap for research on life in extreme environments, and iv) promote the exchange of knowledge through the organisation of field trips, a laboratory seminar, a summer school and the award of short visit grants.</t>
  </si>
  <si>
    <t>[Walter, Nicolas] European Sci Fdn, F-67080 Strasbourg, France; [Ellis-Evans, Cynan] British Antarctic Survey, Cambridge CB3 0ET, England</t>
  </si>
  <si>
    <t>Walter, N (corresponding author), European Sci Fdn, BP 90015-1, F-67080 Strasbourg, France.</t>
  </si>
  <si>
    <t>nwalter@esf.org</t>
  </si>
  <si>
    <t>ARISTOTLE UNIV THESSALONIKI</t>
  </si>
  <si>
    <t>THESSALONIKI</t>
  </si>
  <si>
    <t>ADMIN BLDG, 6TH FLOOR, THESSALONIKI, GR-540 06, GREECE</t>
  </si>
  <si>
    <t>1790-045X</t>
  </si>
  <si>
    <t>J BIOL RES-THESSALON</t>
  </si>
  <si>
    <t>J. Biol. Res.</t>
  </si>
  <si>
    <t>329US</t>
  </si>
  <si>
    <t>WOS:000257896700002</t>
  </si>
  <si>
    <t>Li, F; Austin, J; Wilson, J</t>
  </si>
  <si>
    <t>Li, Feng; Austin, John; Wilson, John</t>
  </si>
  <si>
    <t>The strength of the Brewer-Dobson circulation in a changing climate: Coupled chemistry-climate model simulations</t>
  </si>
  <si>
    <t>ANTARCTIC OZONE HOLE; STRATOSPHERE; TEMPERATURE; TROPOSPHERE; ATMOSPHERE; DEPLETION; EXCHANGE</t>
  </si>
  <si>
    <t>The strength of the Brewer-Dobson circulation (BDC) in a changing climate is studied using multidecadal simulations covering the 1960-2100 period with a coupled chemistry-climate model, to examine the seasonality of the change of the BDC. The model simulates an intensification of the BDC in both the past (1960-2004) and future (2005-2100) climate, but the seasonal cycle is different. In the past climate simulation, nearly half of the tropical upward mass flux increase occurs in December-February, whereas in the future climate simulation the enhancement of the BDC is uniformly distributed in each of the four seasons. A downward control analysis implies that this different seasonality is caused mainly by the behavior of the Southern Hemisphere planetary wave forcing, which exhibits a very different long-term trend during solstice seasons in the past and future. The Southern Hemisphere summer planetary wave activity is investigated in detail, and its evolution is found to be closely related to ozone depletion and recovery. In the model results for the past, about 60% of the lower-stratospheric mass flux increase is caused by ozone depletion, but because of model ozone trend biases, the atmospheric effect was likely smaller than this. The remaining fraction of the mass flux increase is attributed primarily to greenhouse gas increase. The downward control analysis also reveals that orographic gravity waves contribute significantly to the increase of downward mass flux in the Northern Hemisphere winter lower stratosphere.</t>
  </si>
  <si>
    <t>[Li, Feng] Princeton Univ, Atmospher &amp; Ocean Sci Program, Princeton, NJ 08544 USA; [Austin, John; Wilson, John] NOAA, Geophys Fluid Dynam Lab, Princeton, NJ USA</t>
  </si>
  <si>
    <t>Princeton University; National Oceanic Atmospheric Admin (NOAA) - USA; National Oceanic Atmospheric Admin (NOAA) - USA</t>
  </si>
  <si>
    <t>Li, F (corresponding author), NASA, Goddard Space Flight Ctr, Code 613-3, Greenbelt, MD 20771 USA.</t>
  </si>
  <si>
    <t>fengli@welkin.gsfc.nasa.gov</t>
  </si>
  <si>
    <t>Li, Feng/H-2241-2012; Cassano, John/HKW-8817-2023</t>
  </si>
  <si>
    <t>Li, Feng/0000-0002-7928-0775</t>
  </si>
  <si>
    <t>10.1175/2007JCLI1663.1</t>
  </si>
  <si>
    <t>248XN</t>
  </si>
  <si>
    <t>WOS:000252190600003</t>
  </si>
  <si>
    <t>Smith, T; Wharton, DA; Marshall, CJ</t>
  </si>
  <si>
    <t>Smith, T.; Wharton, D. A.; Marshall, C. J.</t>
  </si>
  <si>
    <t>Cold tolerance of an Antarctic nematode that survives intracellular freezing: comparisons with other nematode species</t>
  </si>
  <si>
    <t>JOURNAL OF COMPARATIVE PHYSIOLOGY B-BIOCHEMICAL SYSTEMS AND ENVIRONMENTAL PHYSIOLOGY</t>
  </si>
  <si>
    <t>freeze tolerance; cryoprotective dehydration; recrystallization inhibition</t>
  </si>
  <si>
    <t>CRYOPROTECTIVE DEHYDRATION; ENTOMOPATHOGENIC NEMATODES; PANAGROLAIMUS-DAVIDI; TEMPERATURE; WATER; RECRYSTALLIZATION; MECHANISMS; STRATEGIES; PHYSIOLOGY</t>
  </si>
  <si>
    <t>Panagrolaimus davidi is an Antarctic nematode with very high levels of cold tolerance. Its survival was compared with that of some other nematodes (P. rigidus, Rhabditophanes sp., Steinernema carpocapsae, Panagrellus redivivus and Ditylenchus dipsaci) in both unacclimated samples and those acclimated at 5 degrees C. Levels of recrystallization inhibition in homogenates were also compared, using the splat-cooling assay. The survival of P. davidi after the freezing of samples was notably higher than that of the other species tested, suggesting that its survival ability is atypical compared to other nematodes. In general, acclimation improved survival. Levels of recrystallization inhibition were not associated with survival but such a relationship may exist for those species that are freezing tolerant.</t>
  </si>
  <si>
    <t>[Smith, T.; Wharton, D. A.] Univ Otago, Dept Zool, Dunedin, New Zealand; [Marshall, C. J.] Univ Otago, Dept Biochem, Dunedin, New Zealand</t>
  </si>
  <si>
    <t>University of Otago; University of Otago</t>
  </si>
  <si>
    <t>Wharton, DA (corresponding author), Univ Otago, Dept Zool, POB 56, Dunedin, New Zealand.</t>
  </si>
  <si>
    <t>david.wharton@stonebow.otago.ac.nz</t>
  </si>
  <si>
    <t>Marshall, Craig J./C-6668-2009</t>
  </si>
  <si>
    <t>Marshall, Craig J./0000-0003-4186-0368; Wharton, David/0000-0001-6369-4984</t>
  </si>
  <si>
    <t>0174-1578</t>
  </si>
  <si>
    <t>1432-136X</t>
  </si>
  <si>
    <t>J COMP PHYSIOL B</t>
  </si>
  <si>
    <t>J. Comp. Physiol. B-Biochem. Syst. Environ. Physiol.</t>
  </si>
  <si>
    <t>10.1007/s00360-007-0202-3</t>
  </si>
  <si>
    <t>Physiology; Zoology</t>
  </si>
  <si>
    <t>251GB</t>
  </si>
  <si>
    <t>WOS:000252359300010</t>
  </si>
  <si>
    <t>Sovacool, BK; Siman-Sovacool, KE</t>
  </si>
  <si>
    <t>Sovacool, Benjamin K.; Siman-Sovacool, Kelly E.</t>
  </si>
  <si>
    <t>Creating Legal Teeth for Toothfish: Using the Market to Protect Fish Stocks in Antarctica</t>
  </si>
  <si>
    <t>JOURNAL OF ENVIRONMENTAL LAW</t>
  </si>
  <si>
    <t>Marine policy; overfishing; Convention for the Conservation of Antarctic Marine Living Resources; Patagonian Toothfish; flags of convenience; illegal unregulated and unreported (IUU) fishing</t>
  </si>
  <si>
    <t>Policies to protect Antarctic and Patagonian Toothfish in the Southern Ocean are failing. Contests over sovereignty, the need for international decisions to be approved by consensus, inability to physically patrol the Southern Ocean, and the political vacuum created by the designation of the 'high seas' have each contributed to an overfishing crisis in the Southern Ocean and Antarctica. After documenting the contours of this fishing crisis and explaining how international law is unable to prevent it, this article proposes a fundamental shift in strategy away from supply-side controls that require a presence in Antarctica where the overfishing occurs. Lawmakers must utilise more rigorous demand-side measures if Toothfish stocks are to be preserved and allowed to recover.</t>
  </si>
  <si>
    <t>[Sovacool, Benjamin K.] Oak Ridge Natl Lab, Oak Ridge, TN USA</t>
  </si>
  <si>
    <t>United States Department of Energy (DOE); Oak Ridge National Laboratory</t>
  </si>
  <si>
    <t>Sovacool, BK (corresponding author), Virginia Polytech Inst &amp; State Univ, Govt &amp; Int Affairs Program, Blacksburg, VA 24061 USA.</t>
  </si>
  <si>
    <t>sovacool@vt.edu; simanke@vt.edu</t>
  </si>
  <si>
    <t>Sovacool, Benjamin/Y-2392-2019</t>
  </si>
  <si>
    <t>Sovacool, Benjamin/0000-0002-4794-9403</t>
  </si>
  <si>
    <t>0952-8873</t>
  </si>
  <si>
    <t>1464-374X</t>
  </si>
  <si>
    <t>J ENVIRON LAW</t>
  </si>
  <si>
    <t>J. Environ. Law</t>
  </si>
  <si>
    <t>10.1093/jel/eqm024</t>
  </si>
  <si>
    <t>Environmental Sciences; Environmental Studies; Law; Multidisciplinary Sciences</t>
  </si>
  <si>
    <t>Environmental Sciences &amp; Ecology; Government &amp; Law; Science &amp; Technology - Other Topics</t>
  </si>
  <si>
    <t>V15JH</t>
  </si>
  <si>
    <t>WOS:000207797800007</t>
  </si>
  <si>
    <t>Stark, SC; Snape, I; Graham, NJ; Brennan, JC; Gore, DB</t>
  </si>
  <si>
    <t>Stark, Scott C.; Snape, Ian; Graham, Nicholas J.; Brennan, John C.; Gore, Damian B.</t>
  </si>
  <si>
    <t>Assessment of metal contamination using X-ray fluorescence spectrometry and the toxicity characteristic reaching procedure (TCLP) during remediation of a waste disposal site in Antarctica</t>
  </si>
  <si>
    <t>JOURNAL OF ENVIRONMENTAL MONITORING</t>
  </si>
  <si>
    <t>SOFT-SEDIMENT ASSEMBLAGES; PRECONCENTRATION; SOILS; LEAD; AES</t>
  </si>
  <si>
    <t>The remediation of the Thala Valley landfill, Casey Station, East Antarctica, is part of efforts to clean-up contaminated sites associated with the Australian Antarctic Program. These sites, ranging from abandoned rubbish dumps to fuel spills, are contaminated principally with metals and petroleum hydrocarbons. Remediation success depends on accurate, cost-effective and timely-fit-for-purpose-chemical analysis of soil and water samples from the site, which is required to guide excavation, the in situ or off-site treatment and disposal of contaminated material, and to validate satisfactory remediation. Owing to the remote location of Antarctica, it is necessary to carry out chemical analyses on-site. Waste and soil contaminated with Pb, Zn, Cd, and Cu were excavated from Thala Valley for removal to Australia, treatment and disposal. Analysis of total metal concentrations in soil was performed at Casey Station with a transportable energy dispersive X-ray fluorescence (EDXRF) spectrometer. Soil samples were prepared using a simple size-fractionation method to expedite sample throughput. A method for assessing contaminant mobility in solid waste (toxicity characteristic leaching procedure, TCLP) was also used to characterise soil. Although this was more labour-intensive and time-consuming than the total metals analysis, it was of great utility because leachable metals were often significant determinants in the assessment of contaminated soil. The combined data helped managers during remediation, directing excavation and allowing waste to be classified for treatment and disposal before its return to Australia.</t>
  </si>
  <si>
    <t>[Stark, Scott C.; Snape, Ian; Graham, Nicholas J.] Australian Antarctic Div, Dept Environm &amp; Water Resources, Kingston, Tas 7050, Australia; [Brennan, John C.] Veolia Environm Serv, Mornington, Tas 7018, Australia; [Gore, Damian B.] Macquarie Univ, N Ryde, NSW 2109, Australia</t>
  </si>
  <si>
    <t>Australian Antarctic Division; Veolia; Macquarie University</t>
  </si>
  <si>
    <t>Stark, SC (corresponding author), Australian Antarctic Div, Dept Environm &amp; Water Resources, Channel Hwy, Kingston, Tas 7050, Australia.</t>
  </si>
  <si>
    <t>scott.stark@aad.gov.au</t>
  </si>
  <si>
    <t>Gore, Damian/0000-0002-0377-8518</t>
  </si>
  <si>
    <t>1464-0325</t>
  </si>
  <si>
    <t>1464-0333</t>
  </si>
  <si>
    <t>J ENVIRON MONITOR</t>
  </si>
  <si>
    <t>J. Environ. Monit.</t>
  </si>
  <si>
    <t>10.1039/b712631j</t>
  </si>
  <si>
    <t>262RB</t>
  </si>
  <si>
    <t>WOS:000253164600007</t>
  </si>
  <si>
    <t>Van Buskirk, RW; Nevitt, GA</t>
  </si>
  <si>
    <t>Van Buskirk, R. W.; Nevitt, G. A.</t>
  </si>
  <si>
    <t>The influence of developmental environment on the evolution of olfactory foraging behaviour in procellariiform seabirds</t>
  </si>
  <si>
    <t>JOURNAL OF EVOLUTIONARY BIOLOGY</t>
  </si>
  <si>
    <t>antarctic; dimethyl sulphide; evolution; foraging; olfaction; procellariiformes; seabird</t>
  </si>
  <si>
    <t>RECEPTOR SENSITIVITY; ANTARCTIC SEABIRDS; HALOBAENA-CAERULEA; VISUAL-FIELDS; PETRELS; FLIGHT; ORIENTATION; ALBATROSSES; STRATEGIES; DIMETHYLSULFIDE</t>
  </si>
  <si>
    <t>The evolutionary origins of foraging behaviour by procellariiform seabirds (petrels, albatrosses and shearwaters) are poorly understood. Moreover, proximate factors affecting foraging ecology, such as the influence of environment on the development of sensory systems, have yet to be addressed. Here, we apply comparative methods based on current procellariiform phylogenies to identify associations between sensory modalities and the developmental environment that may underlie the evolution of complex foraging behaviour. We postulate that, for burrow-nesting species, smell is likely to dominate the sensory world of the developing chick. Alternatively, for ground-nesting species, chicks receive exposure to a range of visual, auditory and olfactory cues. We employ maximum likelihood to test models of correlated trait evolution between nesting habit and olfactory foraging style and to reconstruct the ancestral states of these characters when coded as binary states. Our results suggest that nesting behaviour has evolved in conjunction with foraging style. Based on this analysis, we propose that nesting on the surface was a life-history innovation that opened up a new developmental environment with profound effects on the foraging ecology of procellariiform seabirds.</t>
  </si>
  <si>
    <t>[Van Buskirk, R. W.; Nevitt, G. A.] Univ Calif Davis, Ctr Anim Behav, Sect Neurobiol Physiol &amp; Behav, Davis, CA 95616 USA</t>
  </si>
  <si>
    <t>University of California System; University of California Davis</t>
  </si>
  <si>
    <t>Nevitt, GA (corresponding author), Univ Calif Davis, Ctr Anim Behav, Sect Neurobiol Physiol &amp; Behav, Shields Ave 1, Davis, CA 95616 USA.</t>
  </si>
  <si>
    <t>ganevitt@ucdavis.edu</t>
  </si>
  <si>
    <t>1010-061X</t>
  </si>
  <si>
    <t>1420-9101</t>
  </si>
  <si>
    <t>J EVOLUTION BIOL</t>
  </si>
  <si>
    <t>J. Evol. Biol.</t>
  </si>
  <si>
    <t>10.1111/j.1420-9101.2007.01465.x</t>
  </si>
  <si>
    <t>242ZV</t>
  </si>
  <si>
    <t>WOS:000251765600007</t>
  </si>
  <si>
    <t>Collins, MA; Shreeve, RS; Fielding, S; Thurston, MH</t>
  </si>
  <si>
    <t>Collins, M. A.; Shreeve, R. S.; Fielding, S.; Thurston, M. H.</t>
  </si>
  <si>
    <t>Distribution, growth, diet and foraging behaviour of the yellow-fin notothen Patagonotothen guntheri (Norman) on the Shag Rocks shelf (Southern Ocean)</t>
  </si>
  <si>
    <t>JOURNAL OF FISH BIOLOGY</t>
  </si>
  <si>
    <t>growth; notothenid; Patagonian toothfish; South Georgia; Southern Ocean; total length frequency</t>
  </si>
  <si>
    <t>RHINCALANUS-GIGAS COPEPODA; RAMSAYI REGAN 1913; SCOTIA SEA; LIFE-CYCLE; GEORGIA; COMMUNITY; FISH; CALANOIDA; BIOMASS; PISCES</t>
  </si>
  <si>
    <t>The distribution, total length (L-T) frequency and diet of Patagonotothen guntheri are described from 14 bottom trawl surveys conducted on the Shag Rocks and South Georgia shelves in the austral summers from 1986 to 2006. Patagonotothen guntheri (80-265 mm L-T) were caught on the Shag Rocks shelf from depths of 111 to 470 m, but no specimens were caught on the South Georgia shelf. Multiple cohorts were present during each survey and L-T-frequency analysis of these cohorts suggests that growth was slow (von Bertalanffy K = 0.133). Evidence from stomach contents and acoustic data (2005 and 2006) showed that P. guntheri is primarily a pelagic feeder, migrating from the sea floor towards the surface to feed during daylight. The diet of smaller fish (&lt; 140 mm) was dominated by copepods, predominantly Rhincalanus gigas, whilst larger fish principally consumed the pelagic hyperiid amphipod, Themisto gaudichaudii and Antarctic krill Euphausia superba. Some larger fish also took benthic prey. (C) 2008 The Authors Journal compilation (C) 2008 The Fisheries Society of the British Isles.</t>
  </si>
  <si>
    <t>[Collins, M. A.; Shreeve, R. S.; Fielding, S.] British Antarctic Survey, NERC, Cambridge CB3 0ET, England; [Thurston, M. H.] Univ Southampton, Natl Oceanog Ctr, Southampton SO14 3ZH, Hants, England</t>
  </si>
  <si>
    <t>UK Research &amp; Innovation (UKRI); Natural Environment Research Council (NERC); NERC British Antarctic Survey; NERC National Oceanography Centre; University of Southampton</t>
  </si>
  <si>
    <t>Collins, MA (corresponding author), British Antarctic Survey, NERC, High Cross, Cambridge CB3 0ET, England.</t>
  </si>
  <si>
    <t>macol@bas.ac.uk</t>
  </si>
  <si>
    <t>Collins, Martin A/J-8560-2017; , Martin/ABE-6728-2020; Fielding, Sophie/E-5137-2012</t>
  </si>
  <si>
    <t>, Martin/0000-0001-7132-8650;</t>
  </si>
  <si>
    <t>NERC [bas010017, soc010009] Funding Source: UKRI; Natural Environment Research Council [soc010009, bas010017] Funding Source: researchfish</t>
  </si>
  <si>
    <t>0022-1112</t>
  </si>
  <si>
    <t>1095-8649</t>
  </si>
  <si>
    <t>J FISH BIOL</t>
  </si>
  <si>
    <t>J. Fish Biol.</t>
  </si>
  <si>
    <t>10.1111/j.1095-8649.2007.01711.x</t>
  </si>
  <si>
    <t>Fisheries; Marine &amp; Freshwater Biology</t>
  </si>
  <si>
    <t>256FM</t>
  </si>
  <si>
    <t>WOS:000252713100018</t>
  </si>
  <si>
    <t>Sato, H; Kumagai, H; Neo, N; Nakamura, K</t>
  </si>
  <si>
    <t>Sato, Hiroshi; Kumagai, Hidenori; Neo, Natsuki; Nakamura, Kentaro</t>
  </si>
  <si>
    <t>Variations of Chemical Compositions of Mid-ocean Ridge Basalts (MORB) and their Origin</t>
  </si>
  <si>
    <t>JOURNAL OF GEOGRAPHY-CHIGAKU ZASSHI</t>
  </si>
  <si>
    <t>Japanese</t>
  </si>
  <si>
    <t>Mid-ocean ridge basalt (MORB); major element; trace element; isotope ratio</t>
  </si>
  <si>
    <t>AUSTRALIAN-ANTARCTIC DISCORDANCE; OCEAN ISLAND BASALTS; MID-ATLANTIC RIDGE; EAST PACIFIC RISE; NOBLE-GAS; ISOTOPE GEOCHEMISTRY; CHILE RIDGE; MANTLE; BENEATH; PERIDOTITE</t>
  </si>
  <si>
    <t>Mid-ocean ridge basalt (hereafter, MORB) is a final product of melt generated from the partial melting of mantle peridotite, following reaction with mantle and/or lower crustral rocks, fractionation at a shallower crust and other processes en route to seafloor. Therefore, it is difficult to estimate melting processes at the upper mantle solely from any investigations of MORB. In contrast to the restricted occurrence of peridotite of mantle origin in particular tectonic settings (e.g., ophiolites, fracture zones, or oceanic core complexes), the ubiquitous presence of MORB provides us with a key to understanding global geochemical variations of the Earth's interior in relation to plate tectonics. In fact, MORB has been considered to show a homogeneous chemical composition. In terms of volcanic rocks from other tectonic settings (e.g., island arc, continental crust, ocean island), this simple concept seems to be true. However, recent investigations reveal that even MORB has significant chemical variations that seem to correspond to location (Pacific, Atlantic, and Indian Oceans). These observations suggest that the mantle beneath each ocean has a distinct chemical composition and an internally heterogeneous composition. In this paper, global geochemical variations of MORB in terms of major and trace element compositions and isotope ratios are examined using a recently compiled database. The compilation suggests that MORB has heterogeneous compositions, which seem to originate from a mixture of depleted mantle and some enriched materials. Coupled with trace element compositions and Pb-isotope ratios, there seems to be at least two geochemical and isotopic domain of the upper most mantle: equatorial Atlantic-Pacific Oceans and southern Atlantic-Indian Ocean. Material (melt and/or solid) derived from plume, subducted slab, subcontinental crust, or fluid added beneath an ancient subduction zone is a candidate to explain the enrichment end-member to produce heterogeneous MORB. Because MORB is heterogeneous, using a tectonic discrimination diagram that implicitly subsumes homogeneous MORB or its mantle sources should be reconsidered. Further investigations, particularly of off-axis MORB, are needed to understand the relationship between heterogeneous compositions of MORB and geophysical parameters (e.g., degree of melting, temperature, spreading rate, crustal thickness, etc). In addition, the role of the MOHO transitional zone should be investigated to interpret the chemical characteristics of MORB.</t>
  </si>
  <si>
    <t>[Sato, Hiroshi] Senshu Univ, Sch Business Adm, Tokyo, Japan; [Kumagai, Hidenori; Nakamura, Kentaro] Japan Agcy Marine Earth Sci &amp; Technol JAMSTEC, Inst Res Earth Evolut IFREE, Yokosuka, Kanagawa, Japan; [Neo, Natsuki] Niigata Univ, Grad Sch Sci &amp; Technol, Niigata, Japan</t>
  </si>
  <si>
    <t>Japan Agency for Marine-Earth Science &amp; Technology (JAMSTEC); Niigata University</t>
  </si>
  <si>
    <t>Sato, H (corresponding author), Senshu Univ, Sch Business Adm, Tokyo, Japan.</t>
  </si>
  <si>
    <t>SATO, HIROSHI/S-7673-2019; Nakamura, Kentaro/F-6805-2014</t>
  </si>
  <si>
    <t>SATO, HIROSHI/0000-0003-1132-9795</t>
  </si>
  <si>
    <t>TOKYO GEOGRAPHICAL SOC</t>
  </si>
  <si>
    <t>12-2 NIBANCHO, CHIYODAKU-KU, TOKYO, 102-0084, JAPAN</t>
  </si>
  <si>
    <t>0022-135X</t>
  </si>
  <si>
    <t>1884-0884</t>
  </si>
  <si>
    <t>J GEOGR-TOKYO</t>
  </si>
  <si>
    <t>J. Geogr.</t>
  </si>
  <si>
    <t>SI</t>
  </si>
  <si>
    <t>Geography, Physical</t>
  </si>
  <si>
    <t>Physical Geography</t>
  </si>
  <si>
    <t>VG2ZR</t>
  </si>
  <si>
    <t>WOS:000446252800008</t>
  </si>
  <si>
    <t>Kashiwagi, H; Ogawa, Y; Shikazono, N</t>
  </si>
  <si>
    <t>Kashiwagi, Hirohiko; Ogawa, Yasumasa; Shikazono, Naotatsu</t>
  </si>
  <si>
    <t>The Global Climate Change over the Cenozoic Considered from the Carbon Cycle</t>
  </si>
  <si>
    <t>climate change; carbon cycle; Cenozoic; weathering; degassing</t>
  </si>
  <si>
    <t>SEA-SURFACE TEMPERATURE; ATMOSPHERIC CO2; LATE PALEOCENE; THERMAL MAXIMUM; DIOXIDE CONCENTRATIONS; HYDROTHERMAL ACTIVITY; ANTARCTIC GLACIATION; ISOTOPIC COMPOSITION; SEAWATER COMPOSITION; REVISED MODEL</t>
  </si>
  <si>
    <t>The global carbon cycle controls the climate change in the Earth's environment on a geological timescale and is mainly associated with greenhouse effects produced by atmospheric carbon dioxide(CO2) and methane(CH4). This paper reviews the relationship between the global carbon cycle and presumed climate events during the Cenozoic. The global carbon cycle is primarily regulated by the balance between weathering and metamorphism- volcanism. Moreover, the organic carbon subcycle involving oxidative weathering and burial is of secondary importance. The balance of these geochemical processes results in variations of atmospheric CO2. The past climate on a geological time scale is reconstructed by several geochemical and paleontological methods or proxies. For example, sea-surface and deep-water temperature are deduced from oxygen isotope ratio and Mg/Ca ratio of foraminiferal tests. Terrestrial atmospheric temperature is estimated from leaf fossil and paleovegetation. Atmospheric CO2 level is calculated from carbon isotope ratios of phytoplankton and soil carbonate, stomatal density of leaf fossil, boron isotope ratio of foraminiferal test, Ce anomaly, and global carbon cycle modeling. It is important to consider their advantages and disadvantages in order to evaluate the paleoclimate adequately. Next, we discuss climate change based on these proxies. As a general trend, the Cenozoic climate change is characterized by a transition from ice-free to ice-covered conditions across the Eocene/Oligocene boundary. The Earth's surface environment was significantly warmed from the Paleocene to the Eocene by high levels of atmospheric CO2. Thereafter, it gradually cooled towards the present, which is possibly attributed to changes in ocean currents and other marine environments accompanying continental drift. This trend has been punctuated by several short-term climate events. The Paleocene-Eocene Thermal Maximum(PETM) was a remarkable warming event at the Paleocene/Eocene boundary, possibly attributed to the release of methane from hydrates into the atmosphere. Rapid cooling occurred at the Eocene/Oligocene boundary to form extensive continental ice sheets including the Antarctica, which seems to have been caused by atmospheric CO2 and change of oceanographic circulation and marine environment. After a moderate period from the late Oligocene to the early Miocene, there was a transient but significant warming in the middle Miocene. Since then, the Earth's environment has gradually cooled towards the present accompanied by the evolution of glaciations and marine environmental changes but a causal link between cooling and global carbon cycle has recently been pointed out.</t>
  </si>
  <si>
    <t>[Kashiwagi, Hirohiko; Shikazono, Naotatsu] Keio Univ, Grad Sch Sci &amp; Technol, Tokyo, Japan; [Ogawa, Yasumasa] Tohoku Univ, Grad Sch Environm Studies, Sendai, Miyagi, Japan</t>
  </si>
  <si>
    <t>Keio University; Tohoku University</t>
  </si>
  <si>
    <t>Kashiwagi, H (corresponding author), Keio Univ, Grad Sch Sci &amp; Technol, Tokyo, Japan.</t>
  </si>
  <si>
    <t>VG3AC</t>
  </si>
  <si>
    <t>WOS:000446259000006</t>
  </si>
  <si>
    <t>Glasser, NF; Scambos, TA</t>
  </si>
  <si>
    <t>Glasser, N. F.; Scambos, T. A.</t>
  </si>
  <si>
    <t>A structural glaciological analysis of the 2002 Larsen B ice-shelf collapse</t>
  </si>
  <si>
    <t>JOURNAL OF GLACIOLOGY</t>
  </si>
  <si>
    <t>ANTARCTIC PENINSULA; BREAK-UP; RETREAT; CLIMATE; DISINTEGRATION; ASSIMILATION; PROPAGATION; FOLIATION; DYNAMICS; HOLOCENE</t>
  </si>
  <si>
    <t>This study provides a detailed structural glaciological analysis of changes in surface structures on the Larsen B ice shelf on the Antarctic Peninsula prior to its collapse in February-March 2002. Mapped features include the ice-shelf front, rifts, crevasses, longitudinal linear surface structures and meltwater features. We define domains on the ice shelf related to glacier source areas and demonstrate that, prior to collapse, the central Larsen 0 ice shelf consisted of four sutured flow units fed by Crane, Jorum, Punchbowl and Hektoria/Green/Evans glaciers. Between these flow units were 'suture zones' of thinner ice where the feeder glaciers merged. Prior to collapse, large open-rift systems were present offshore of Foyn Point and Cape Disappointment. These rifts became more pronounced in the years preceding break-up, and ice blocks in the rifts rotated because of the strong lateral shear in this zone. Velocity mapping of the suture zones indicates that the major rifts were not present more than about 20 years ago. We suggest that the ice shelf was preconditioned to collapse by partial rupturing of the sutures between flow units. This, we believe, was the result of ice-shelf front retreat during 19982000, reducing the lateral resistive stress on the upstream parts of the shelf and glacier flow units, ice-shelf thinning and pre-shelf-break-up glacier acceleration.</t>
  </si>
  <si>
    <t>[Glasser, N. F.] Aberystwyth Univ, Ctr Glaciol, Inst Geog &amp; Earth Sci, Aberystwyth SY23 3DB, Dyfed, Wales; [Scambos, T. A.] Univ Colorado, Natl Snow &amp; Ice Data Ctr, CIRES, Boulder, CO 80309 USA</t>
  </si>
  <si>
    <t>Aberystwyth University; University of Colorado System; University of Colorado Boulder</t>
  </si>
  <si>
    <t>Glasser, NF (corresponding author), Aberystwyth Univ, Ctr Glaciol, Inst Geog &amp; Earth Sci, Aberystwyth SY23 3DB, Dyfed, Wales.</t>
  </si>
  <si>
    <t>nfg@aber.ac.uk</t>
  </si>
  <si>
    <t>Scambos, Ted A/B-1856-2009; Glasser, Neil F/C-1971-2012</t>
  </si>
  <si>
    <t>SCAMBOS, Ted A./0000-0003-4268-6322; Glasser, Neil/0000-0002-8245-2670</t>
  </si>
  <si>
    <t>0022-1430</t>
  </si>
  <si>
    <t>1727-5652</t>
  </si>
  <si>
    <t>J GLACIOL</t>
  </si>
  <si>
    <t>J. Glaciol.</t>
  </si>
  <si>
    <t>10.3189/002214308784409017</t>
  </si>
  <si>
    <t>282CS</t>
  </si>
  <si>
    <t>WOS:000254545800001</t>
  </si>
  <si>
    <t>Bassis, JN; Fricker, HA; Coleman, R; Minster, JB</t>
  </si>
  <si>
    <t>Bassis, Jeremy N.; Fricker, Helen A.; Coleman, Richard; Minster, Jean-Bernard</t>
  </si>
  <si>
    <t>An investigation into the forces that drive ice-shelf rift propagation on the Amery Ice Shelf, East Antarctica</t>
  </si>
  <si>
    <t>GLACIERS</t>
  </si>
  <si>
    <t>For three field seasons (2002/03, 2004/05, 2005/06) we have deployed a network of GPS receivers and seismometers around the tip of a propagating rift on the Amery Ice Shelf, East Antarctica. During these campaigns we detected seven bursts of episodic rift propagation. To determine whether these rift propagation events were triggered by short-term environmental forcings, we analyzed simultaneous ancillary data such as wind speeds, tidal amplitudes and sea-ice fraction (a proxy variable for ocean swell). We find that none of these environmental forcings, separately or together, correlated with rift propagation. This apparent insensitivity of ice-shelf rift propagation to short-term environmental forcings leads us to suggest that the rifting process is primarily driven by the internal glaciological stress. Our hypothesis is supported by order-of-magnitude calculations that the glaciological stress is the dominant term in the force balance. However, our calculations also indicate that as the ice shelf thins or the rift system matures and iceberg detachment becomes imminent, short-term stresses due to winds and ocean swell may become more important.</t>
  </si>
  <si>
    <t>[Bassis, Jeremy N.; Fricker, Helen A.; Minster, Jean-Bernard] Univ Calif San Diego, Scripps Inst Oceanog, Inst Geophys &amp; Planetary Phys, La Jolla, CA 92093 USA; [Coleman, Richard] Univ Tasmania, Ctr Marine Sci, Hobart, Tas 7000, Australia; [Coleman, Richard] CSIRO Marine &amp; Atmospher Res, Hobart, Tas 7001, Australia; [Coleman, Richard] Antarctic Climate &amp; Ecosyst CRC, Hobart, Tas 7001, Australia</t>
  </si>
  <si>
    <t>University of California System; University of California San Diego; Scripps Institution of Oceanography; University of Tasmania; Commonwealth Scientific &amp; Industrial Research Organisation (CSIRO); University of Tasmania</t>
  </si>
  <si>
    <t>Bassis, JN (corresponding author), Univ Calif San Diego, Scripps Inst Oceanog, Inst Geophys &amp; Planetary Phys, La Jolla, CA 92093 USA.</t>
  </si>
  <si>
    <t>jbassis@ucsd.edu</t>
  </si>
  <si>
    <t>Bassis, Jeremy/ABB-8628-2021; Coleman, Richard/H-4425-2012</t>
  </si>
  <si>
    <t>Bassis, Jeremy/0000-0003-2946-7176; Coleman, Richard/0000-0002-9731-7498; Fricker, Helen Amanda/0000-0002-0921-1432; Minster, Jean Bernard/0000-0003-1268-5177</t>
  </si>
  <si>
    <t>10.3189/002214308784409116</t>
  </si>
  <si>
    <t>Green Submitted, Bronze, Green Accepted</t>
  </si>
  <si>
    <t>WOS:000254545800002</t>
  </si>
  <si>
    <t>Vaughan, DG; Corr, HFJ; Smith, AM; Pritchard, HD; Shepherd, A</t>
  </si>
  <si>
    <t>Vaughan, David G.; Corr, Hugh F. J.; Smith, Andy M.; Pritchard, Hamish D.; Shepherd, Andrew</t>
  </si>
  <si>
    <t>Flow-switching and water piracy between Rutford Ice Stream and Carlson Inlet, West Antartica</t>
  </si>
  <si>
    <t>DIGITAL ELEVATION MODELS; BED TOPOGRAPHY; MASS-BALANCE; ANTARCTICA; STAGNATION; GLACIER; BENEATH; RADAR; BASAL; GEOMETRY</t>
  </si>
  <si>
    <t>Rutford Ice Stream and Carlson Inlet are neighbouring glaciers in West Antarctica. Rutford Ice Stream flows at speeds greater than 350m a(-1), whereas Carlson Inlet, which has some similar dimensions and supports a similar driving stress, flows 10-50 times slower. We discuss a range of observations concerning Carlson Inlet, and conclude that there is good indirect evidence that it is a relict ice stream, which ceased streaming more than 240 years BP, but sufficiently recently that its surface morphology, basal water content and basal morphology still retain characteristics produced by streaming. An analysis of expected subglacial drainage pathways indicates that Carlson Inlet is not streaming because it is currently starved of subglacial water, which is currently directed beneath Rutford Ice Stream. This current state of water piracy by Rutford Ice Stream is, however, sensitive to minor thickness changes on the ice streams; a similar to 120 m (&lt;4%) thickening of Rutford Ice Stream would divert almost all the subglacial water in the system towards Carlson Inlet and could reactivate its flow. The result highlights the importance of subglacial drainage in controlling ice-stream evolution and the requirement for ice-sheet models to couple ice flow with subglacial drainage.</t>
  </si>
  <si>
    <t>[Vaughan, David G.; Corr, Hugh F. J.; Smith, Andy M.; Pritchard, Hamish D.] British Antarctic Survey, NERC, Cambridge CB3 0ET, England; [Shepherd, Andrew] Univ Edinburgh, Dept Geog, Edinburgh EH9 9XP, Midlothian, Scotland</t>
  </si>
  <si>
    <t>UK Research &amp; Innovation (UKRI); Natural Environment Research Council (NERC); NERC British Antarctic Survey; University of Edinburgh</t>
  </si>
  <si>
    <t>Vaughan, DG (corresponding author), British Antarctic Survey, NERC, Madingley Rd, Cambridge CB3 0ET, England.</t>
  </si>
  <si>
    <t>d.vaughan@bas.ac.uk</t>
  </si>
  <si>
    <t>Corr, Hugh/C-5398-2011; Vaughan, David/C-8348-2011; Pritchard, Hamish Daniel/AAU-4696-2021</t>
  </si>
  <si>
    <t>Vaughan, David/0000-0002-9065-0570; Shepherd, Andrew/0000-0002-4914-1299</t>
  </si>
  <si>
    <t>INT GLACIOL SOC</t>
  </si>
  <si>
    <t>10.3189/002214308784409125</t>
  </si>
  <si>
    <t>WOS:000254545800004</t>
  </si>
  <si>
    <t>Kameda, T; Motoyama, H; Fujita, S; Takahashi, S</t>
  </si>
  <si>
    <t>Kameda, Takao; Motoyama, Hideaki; Fujita, Shuji; Takahashi, Shuhei</t>
  </si>
  <si>
    <t>Temporal and spatial variability of surface mass balance at Dome Fuji, East Antarctica, by the stake method from 1995 to 2006</t>
  </si>
  <si>
    <t>ANNUAL SNOW ACCUMULATION; DRONNING MAUD LAND; ICE CORE; STATION; FREQUENCY; RECORD; LAYERS</t>
  </si>
  <si>
    <t>The surface mass balance (SMB) at Dome Fuji, East Antarctica, was estimated using 36 bamboo stakes (grid of 6 x 6, placed at 20 m intervals) from 1995 to 2006. The heights of the stake tops from the snow surface were measured at 0.5 cm resolution twice monthly in 1995, 1996, 1997 and 2003, and once a year for the rest of the study period. To account for snow settling, the average snow density at the stake base during the measurements was used for converting the stake-height data to SMB. The annual SMB from 1995 to 2006 at Dome Fuji was 27.3 +/- 1.5 kg m(-2) a(-1). This result agrees well with the annual SMB from AD 1260 to 1993 (26.4 kg m(-2) a(-1)) estimated from volcanic signals in the Dome Fuji ice core. Over the period 1995-2006, there were 37 (8.6% of the measurements) negative or zero annual SMB results. Variation in the multi-year averages of annual SMB decreased with the square root of the number of observation years, and 10 years of observations of a single stake allowed the estimation of annual SMB at 10% accuracy. The frequency distributions of annual and monthly SMB were examined. The findings clarify the complex behavior of the annual and monthly SMB at Dome Fuji, which will be common phenomena in areas of low snow accumulation of the interior of the Antarctic ice sheet.</t>
  </si>
  <si>
    <t>[Kameda, Takao; Takahashi, Shuhei] Kitami Inst Technol, Snow &amp; Ice Res Lab, Kitami, Hokkaido 0908507, Japan; [Motoyama, Hideaki; Fujita, Shuji] Natl Inst Polar Res, Itabashi Ku, Tokyo 1738515, Japan</t>
  </si>
  <si>
    <t>Kitami Institute of Technology; Research Organization of Information &amp; Systems (ROIS); National Institute of Polar Research (NIPR) - Japan</t>
  </si>
  <si>
    <t>Kameda, T (corresponding author), Kitami Inst Technol, Snow &amp; Ice Res Lab, Koen Cho 165, Kitami, Hokkaido 0908507, Japan.</t>
  </si>
  <si>
    <t>kameda@mail.kitami-it.ac.jp</t>
  </si>
  <si>
    <t>; Fujita, Shuji/A-7884-2016</t>
  </si>
  <si>
    <t>Kameda, Takao/0000-0001-6317-4399; Fujita, Shuji/0000-0003-0127-0777; Takahashi, Shuhei/0000-0003-2303-8928</t>
  </si>
  <si>
    <t>10.3189/002214308784409062</t>
  </si>
  <si>
    <t>WOS:000254545800010</t>
  </si>
  <si>
    <t>Schlosser, E; Oerter, H; Masson-Delmotte, V; Reijmer, C</t>
  </si>
  <si>
    <t>Schlosser, Elisabeth; Oerter, Hans; Masson-Delmotte, Valerie; Reijmer, Carleen</t>
  </si>
  <si>
    <t>Atmospheric influence on the deuterium excess signal in polar firn: implications for ice-core interpretation</t>
  </si>
  <si>
    <t>DRONNING MAUD LAND; GENERAL-CIRCULATION MODEL; ANTARCTIC PRECIPITATION; CLIMATE VARIABILITY; NEUMAYER STATION; LAW DOME; ORIGIN; SNOW; ACCUMULATION; TRAJECTORIES</t>
  </si>
  <si>
    <t>The seasonal deuterium excess signal of fresh snow samples from Neumayer station, coastal Dronning Maud Land, Antarctica, was studied to investigate the relationship between deuterium excess and precipitation origin. An isotope model was combined with a trajectory model to determine the relative influence of different moisture sources on the mean annual course of the deuterium excess, focusing on the phase lag between delta(18)O and excess d. Whereas the annual course of delta(18)O always shows an austral summer maximum, which clearly depends on local temperature and the annual course of moisture source-area parameters, the deuterium excess of the fresh snow samples shows maximum values already in spring. There can be many different reasons for the time lag between delta(18)O and deuterium excess in an ice core, including post-depositional processes and changes in the moisture source of precipitation. The use of fresh snow samples enabled us to exclude post-depositional processes and study solely the influence of precipitation origin. Changes in the moisture source connected to systematic changes in the general atmospheric circulation can have a strong influence on the phase lag between deuterium excess and delta(18)O, which has to be taken into account for climatic interpretation of stable-isotope profiles from ice cores.</t>
  </si>
  <si>
    <t>[Schlosser, Elisabeth] Univ Innsbruck, Inst Meteorol &amp; Geophys, A-6020 Innsbruck, Austria; [Oerter, Hans] Alfred Wegener Inst Polar &amp; Marine Res, D-27515 Bremerhaven, Germany; [Masson-Delmotte, Valerie] CE Saclay, CNRS, Lab Mixte CEA, Lab Sci Climate &amp; Environm, F-91191 Gif Sur Yvette, France; [Reijmer, Carleen] Univ Utrecht, Inst Marine &amp; Atmospher Res, NL-3584 CC Utrecht, Netherlands</t>
  </si>
  <si>
    <t>University of Innsbruck; Helmholtz Association; Alfred Wegener Institute, Helmholtz Centre for Polar &amp; Marine Research; CEA; Centre National de la Recherche Scientifique (CNRS); Universite Paris Saclay; Utrecht University</t>
  </si>
  <si>
    <t>Schlosser, E (corresponding author), Univ Innsbruck, Inst Meteorol &amp; Geophys, Innrain 52, A-6020 Innsbruck, Austria.</t>
  </si>
  <si>
    <t>elisabeth.schlosser@uibk.ac.at</t>
  </si>
  <si>
    <t>Reijmer, Carleen H/G-8736-2011; Masson-Delmotte, Valerie L/G-1995-2011</t>
  </si>
  <si>
    <t>Reijmer, Carleen H/0000-0001-8299-3883; Masson-Delmotte, Valerie L/0000-0001-8296-381X</t>
  </si>
  <si>
    <t>10.3189/002214308784408991</t>
  </si>
  <si>
    <t>WOS:000254545800011</t>
  </si>
  <si>
    <t>King, EC; Smith, AM; Murray, T; Stuart, GW</t>
  </si>
  <si>
    <t>King, E. C.; Smith, A. M.; Murray, T.; Stuart, G. W.</t>
  </si>
  <si>
    <t>Glacier-bed characteristics of midtre Lovenbreen, Svalbard, from high-resolution seismic and radar surveying</t>
  </si>
  <si>
    <t>BASAL CONDITIONS BENEATH; MASS-BALANCE; SURGE-TYPE; ICE STREAM; VELOCITIES; BAKANINBREEN; SPITSBERGEN; AREA</t>
  </si>
  <si>
    <t>We conducted a seismic and radar survey of the central part of midtre Lovenbreen, a small, polythermal valley glacier in Svalbard. We determined the physical properties of the material beneath the glacier by measuring the reflection coefficient of the bed by comparing the energy of the primary and multiple reflections, and deriving the acoustic impedance. By making reasonable assumptions about the properties of the basal ice, we determined the acoustic impedance of the bed material as (6.78 +/- 1.53) x 10(6) kg m(-2) s(-1). We interpret the material beneath the glacier to be permafrost with up to 50% ice, and we speculate that the material may be frozen talus similar to a deposit observed directly by others beneath another Svalbard glacier. The implication for midtre Lovenbreen is that the basal material beneath the present glacier is not able to support fast flow. We conclude that midtre Lovenbreen has most likely had limited capability for faster flow in the past, with motion dominated by internal deformation. Midtre Lovenbreen is used as a 'study glacier' for the scientific community in Svalbard, and a large number of studies have been based there. Our results show that it cannot be used as an analogue for larger glaciers in Svalbard, having distinct basal boundary conditions.</t>
  </si>
  <si>
    <t>[King, E. C.; Smith, A. M.] British Antarctic Survey, NERC, Cambridge CB3 0ET, England; [Murray, T.] Univ Coll Swansea, Dept Geog, Sch Environm &amp; Soc, Swansea SA2 8PP, W Glam, Wales; [Stuart, G. W.] Univ Leeds, Sch Earth Environm, Leeds LS2 9JT, W Yorkshire, England</t>
  </si>
  <si>
    <t>UK Research &amp; Innovation (UKRI); Natural Environment Research Council (NERC); NERC British Antarctic Survey; Swansea University; University of Leeds</t>
  </si>
  <si>
    <t>King, EC (corresponding author), British Antarctic Survey, NERC, Madingley Rd, Cambridge CB3 0ET, England.</t>
  </si>
  <si>
    <t>ecki@bas.ac.uk</t>
  </si>
  <si>
    <t>Murray, Tavi/0000-0001-6714-6512</t>
  </si>
  <si>
    <t>10.3189/002214308784409099</t>
  </si>
  <si>
    <t>WOS:000254545800014</t>
  </si>
  <si>
    <t>Pattyn, F</t>
  </si>
  <si>
    <t>Pattyn, Frank</t>
  </si>
  <si>
    <t>Investigating the stability of subglacial lakes with a full Stokes ice-sheet model</t>
  </si>
  <si>
    <t>VOSTOK; GLACIER; DYNAMICS; FLOW; BENEATH; ORIGIN</t>
  </si>
  <si>
    <t>Despite the large amount of subglacial lakes present underneath the East Antarctic ice sheet and the melt processes involved, the hydrology beneath the ice sheet is poorly understood. Changes in subglacial potential gradients may lead to subglacial lake outbursts, discharging excess water through a subglacial drainage system underneath the ice sheet. Such processes can eventually lead to an increase in ice flow. In this paper, a full Stokes numerical ice-sheet model was employed which takes into account the ice flow over subglacial water bodies in hydrostatic equilibrium with the overlying ice. Sensitivity experiments were carried out for small perturbations in ice flow and basal melt rate as a function of ice thickness, general surface slope, ice viscosity and lake size, in order to investigate their influence on the subglacial potential gradient and the impact on subglacial lake drainage. Experiments clearly demonstrate that small changes in surface slope are sufficient to start and sustain episodic subglacial drainage events. Lake drainage can therefore be regarded as a common feature of the subglacial hydrological system and may influence, to a large extent, the present and future behavior of large ice sheets.</t>
  </si>
  <si>
    <t>Univ Libre Bruxelles, Fac Sci, Lab Glaciol, B-1050 Brussels, Belgium</t>
  </si>
  <si>
    <t>Universite Libre de Bruxelles</t>
  </si>
  <si>
    <t>Pattyn, F (corresponding author), Univ Libre Bruxelles, Fac Sci, Lab Glaciol, CP160-03, B-1050 Brussels, Belgium.</t>
  </si>
  <si>
    <t>Pattyn, Frank/AAA-9640-2019</t>
  </si>
  <si>
    <t>Pattyn, Frank/0000-0003-4805-5636</t>
  </si>
  <si>
    <t>10.3189/002214308784886171</t>
  </si>
  <si>
    <t>316KW</t>
  </si>
  <si>
    <t>WOS:000256949400016</t>
  </si>
  <si>
    <t>Iliescu, D; Baker, I</t>
  </si>
  <si>
    <t>Iliescu, D.; Baker, I.</t>
  </si>
  <si>
    <t>Effects of impurities and their redistribution during recrystallization of ice crystals</t>
  </si>
  <si>
    <t>SCANNING-ELECTRON-MICROSCOPE; POLAR ICE; GREENLAND ICE; SULFURIC-ACID; ANTARCTIC ICE; GRAIN-GROWTH; CORE; CHEMISTRY; VOSTOK; DISLOCATIONS</t>
  </si>
  <si>
    <t>In order to examine the effects of solutes on recrystallization and subsequent grain growth in ice, both doped and undoped ice single crystals were extruded through a 120 degrees equal-channel angular extrusion jig, in order to impart a large shear strain (similar to 1.15). Upon subsequent annealing at -3 degrees C, the original single crystals recrystallized, in most cases to a new single crystal with a different orientation. Increasing the solute concentration (for H(2)SO(4) to similar to 200-300ppb, and for NaCl, KCl and MgSO(4) to &gt;5 ppm) was found to significantly retard the growth and possibly, for H(2)SO(4)-doped ice, the nucleation of new grains in the strained ice single crystals. This is indicative of how soluble impurities can retard grain growth in ice cores. It was also found that the migrating grain boundaries surrounding the newly formed grains contained large concentrations of impurities, often observed as filaments. These could have formed by the grain boundaries sweeping up impurities from the lattice into the boundary or by their diffusion to the boundary - mechanisms whereby impurities could be concentrated into the grain boundaries in ice cores - although the latter mechanism seems unlikely since it would require very high diffusion rates.</t>
  </si>
  <si>
    <t>[Iliescu, D.; Baker, I.] Dartmouth Coll, Thayer Sch Engn, Hanover, NH 03755 USA</t>
  </si>
  <si>
    <t>Dartmouth College</t>
  </si>
  <si>
    <t>Iliescu, D (corresponding author), Dartmouth Coll, Thayer Sch Engn, Hanover, NH 03755 USA.</t>
  </si>
  <si>
    <t>ian.baker@dartmouth.edu</t>
  </si>
  <si>
    <t>10.3189/002214308784886216</t>
  </si>
  <si>
    <t>WOS:000256949400017</t>
  </si>
  <si>
    <t>Fukui, K; Sone, T; Strelin, JA; Toriell, CA; Mori, J; Fujii, Y</t>
  </si>
  <si>
    <t>Fukui, Kotaro; Sone, Toshio; Strelin, Jorge A.; Toriell, Cesar A.; Mori, Junko; Fujii, Yoshiyuki</t>
  </si>
  <si>
    <t>Dynamics and GPR stratigraphy of a polar rock glacier on James Ross Island, Antarctic Peninsula</t>
  </si>
  <si>
    <t>FLOW; MARS</t>
  </si>
  <si>
    <t>We describe field measurements (ground-penetrating radar (GPR), geodetic survey and ice-core drilling) to provide new information on the movement mechanism and internal structure of a polar rock glacier on James Ross Island, Antarctic Peninsula. We collected GPR data along longitudinal and transverse profiles. The longitudinal GPR profiles identify inter-bedded debris-rich layers that dip up-glacier, similar to the thrust structures in the compression zone of a valley glacier. The transverse GPR profiles indicate a syncline structure inclined towards the central part of the rock glacier, resembling the transverse foliation of a valley glacier. The stratigraphy of two boreholes shows that the rock glacier consists primarily of bubbly ice with thin debris-rich layers, an internal structure similar to the 'nested spoons' structure common in the interior of valley glaciers. These results indicate that the glacier motion is controlled by shear movement, common in valley glaciers. The geodetic survey confirms that flow velocities decrease towards the lower part of the rock glacier. Such heterogeneous movement causes longitudinal compression and forms thrusts which then create the debris-rich layer by uplifting basal ice and debris. Pushing of the upstream ice against the downstream ice bends the surface layers, forming transverse ridges on the rock glacier surface.</t>
  </si>
  <si>
    <t>[Fukui, Kotaro; Fujii, Yoshiyuki] Natl Inst Polar Res, Itabashi Ku, Tokyo 1738515, Japan; [Sone, Toshio; Mori, Junko] Hokkaido Univ, Inst Low Temp Sci, Sapporo, Hokkaido 0600819, Japan; [Strelin, Jorge A.; Toriell, Cesar A.] Univ Nacl Cordoba, Fac Ciencias Exactas Fis &amp; Nat, RA-5000 Cordoba, Argentina; [Strelin, Jorge A.] Inst Antartico Argentino, Buenos Aires, DF, Argentina</t>
  </si>
  <si>
    <t>Research Organization of Information &amp; Systems (ROIS); National Institute of Polar Research (NIPR) - Japan; Hokkaido University; National University of Cordoba; Instituto Antartico Argentino</t>
  </si>
  <si>
    <t>Fukui, K (corresponding author), Natl Inst Polar Res, Itabashi Ku, Kaga 1-9-10, Tokyo 1738515, Japan.</t>
  </si>
  <si>
    <t>fukui@nipr.ac.jp</t>
  </si>
  <si>
    <t>Sone, Toshio/D-9750-2012; FUKUI, Kotaro/H-5600-2018</t>
  </si>
  <si>
    <t>PICTO [2002 7-11573]; Ministry of Education, Culture, Sports, Science and Technology, Japan [15-1492]</t>
  </si>
  <si>
    <t>PICTO; Ministry of Education, Culture, Sports, Science and Technology, Japan(Ministry of Education, Culture, Sports, Science and Technology, Japan (MEXT))</t>
  </si>
  <si>
    <t>We are grateful to the Instituto Antartico Argentino (IAA) and Fuerza Aerea Argentina for logistical and technical support on James Ross Island and at Marambio base. We also thank A. Sobral (Centro Austral de Investigaciones Cientificas) for expert assistance in the field. This work was partly supported by PICTO 2002 7-11573 of Secretaria de Ciencid y Tecnica de la Universidad Nacionale de Cordoba (SECyT)-IAA (principal investigator: J. Strelin) and by a grant from the Ministry of Education, Culture, Sports, Science and Technology, Japan (principal investigator: K. Fukui, 15-1492).</t>
  </si>
  <si>
    <t>10.3189/002214308785836940</t>
  </si>
  <si>
    <t>346ZK</t>
  </si>
  <si>
    <t>WOS:000259107900007</t>
  </si>
  <si>
    <t>Town, MS; Waddington, ED; Walden, VP; Warren, SG</t>
  </si>
  <si>
    <t>Town, Michael S.; Waddington, Edwin D.; Walden, Von P.; Warren, Stephen G.</t>
  </si>
  <si>
    <t>Temperatures, heating rates and vapour pressures in near-surface snow at the South Pole</t>
  </si>
  <si>
    <t>DRONNING-MAUD-LAND; ENERGY-BALANCE; ANTARCTIC SURFACE; CLOUD COVER; DAILY CYCLE; ICE; AIR; VARIABILITY; RADIATION; OXYGEN</t>
  </si>
  <si>
    <t>A finite-volume model is used to simulate 9 years (1995-2003) of snow temperatures at the South Pole. The upper boundary condition is skin-surface temperature derived from routine upwelling longwave radiation measurements, while the lower boundary condition is set to the seasonal temperature gradient at 6.5 m depth, taken from prior measurements at the South Pole. We focus on statistics of temperature, heat fluxes, heating rates and vapour pressures in the top metre of snow, but present results from the full depth of the model (6.5 m). The monthly mean net heat flux into the snow agrees with results from previous studies performed at the South Pole. On shorter timescales, the heating rates and vapour pressures show large variability. The net heat flux into the snow, which is between +/- 5 W m(-2) in the monthly mean, can be greater than 20 W m(-2) on hourly timescales. On sub-daily timescales, heating rates exceed 40 K d(-1) in the top 10 cm of the snow. Subsurface temperatures, and therefore heating rates, are more variable during winter (April-September) due to increased synoptic activity and the presence of a strong, surface-based, atmospheric temperature inversion. The largest vapour pressures (60-70 Pa) and vertical gradients of vapour pressure are found in the top metre of snow during the short summer (December-January). In contrast, during the long winter, the low temperatures result in very small vapour pressures and insignificant vapour-pressure gradients. The high summertime vapour-pressure gradients may be important in altering the isotopic composition of snow and ice on the Antarctic plateau.</t>
  </si>
  <si>
    <t>[Town, Michael S.; Warren, Stephen G.] Univ Washington, Dept Atmospher Sci, Seattle, WA 98195 USA; [Waddington, Edwin D.; Warren, Stephen G.] Univ Washington, Dept Earth &amp; Space Sci, Seattle, WA 98195 USA; [Walden, Von P.] Univ Idaho, Dept Geog, Moscow, ID 83844 USA</t>
  </si>
  <si>
    <t>University of Washington; University of Washington Seattle; University of Washington; University of Washington Seattle; Idaho; University of Idaho</t>
  </si>
  <si>
    <t>Town, MS (corresponding author), Univ Washington, Dept Atmospher Sci, Seattle, WA 98195 USA.</t>
  </si>
  <si>
    <t>mstown@atmos.washington.edu</t>
  </si>
  <si>
    <t>US National Science Foundation [OPP-0540090, OPP-0636997]</t>
  </si>
  <si>
    <t>US National Science Foundation(National Science Foundation (NSF))</t>
  </si>
  <si>
    <t>We thank H. Conway, J. Lundin, M. Koutnik, L. A. Rasmussen, T. Neumann, an anonymous reviewer and the University of Washington Glaciology Group for excellent comments and suggestions. We also thank the Baseline Surface Radiation Network, E. Dutton and T. Mefford of NOAA-GMD for providing the data used in this study. This work was funded under US National Science Foundation grant Nos OPP-0540090 and OPP-0636997.</t>
  </si>
  <si>
    <t>10.3189/002214308785837075</t>
  </si>
  <si>
    <t>WOS:000259107900012</t>
  </si>
  <si>
    <t>Scambos, T; Ross, R; Bauer, R; Yermolin, Y; Skvarca, P; Long, D; Bohlander, J; Haran, T</t>
  </si>
  <si>
    <t>Scambos, T.; Ross, R.; Bauer, R.; Yermolin, Y.; Skvarca, P.; Long, D.; Bohlander, J.; Haran, T.</t>
  </si>
  <si>
    <t>Calving and ice-shelf break-up processes investigated by proxy: Antarctic tabular iceberg evolution during northward drift</t>
  </si>
  <si>
    <t>RETREAT; MODEL</t>
  </si>
  <si>
    <t>Using a combination of satellite sensors, field measurements and satellite-uplinked in situ observing stations, we examine the evolution of several large icebergs drifting east of the Antarctic Peninsula towards South Georgia Island. Three styles of calving are observed during drift: 'rift calvings', 'edge wasting' and 'rapid disintegration'. Rift calvings exploit large pre-existing fractures generated in the shelf environment and can occur at any stage of drift. Edge wasting is calving of the iceberg perimeter by numerous small edge-parallel, sliver-shaped icebergs, preserving the general shape of the main iceberg as it shrinks. This process is observed only in areas north of the sea-ice edge. Rapid disintegration, where numerous small calvings occur in rapid succession, is consistently associated with indications of surface melt saturation (surface lakes, firn-pit ponding). Freeboard measurements by ICESat indicate substantial increases in ice-thinning rates north of the sea-ice edge (from &lt;10 ma(-1) to &gt;30 ma(-1)), but surface densification is shown to be an important correction (&gt;2 m freeboard loss before the firn saturates). Edge wasting of icebergs in 'warm' surface water (sea-ice-free, &gt;-1.8 degrees C) implies a mechanism based on waterline erosion. Rapid disintegration ('Larsen B-style' break-up) is likely due to the effects of surface or saturated-firn water acting on pre-existing crevasses, or on wave- or tidally induced fractures. Changes in microwave backscatter of iceberg firn as icebergs drift into warmer climate and experience increased surface melt suggest a means of predicting when floating ice plates are evolving towards disintegration.</t>
  </si>
  <si>
    <t>[Scambos, T.; Bauer, R.; Bohlander, J.; Haran, T.] Univ Colorado, Natl Snow &amp; Ice Data Ctr, Boulder, CO 80309 USA; [Ross, R.] Avega Syst, Sydney, NSW 2060, Australia; [Yermolin, Y.; Skvarca, P.] Inst Antartico Argentino, Div Glaciol, Buenos Aires, DF, Argentina; [Long, D.] Brigham Young Univ, Dept Elect Engn, Provo, UT 84602 USA</t>
  </si>
  <si>
    <t>University of Colorado System; University of Colorado Boulder; Instituto Antartico Argentino; Brigham Young University</t>
  </si>
  <si>
    <t>Scambos, T (corresponding author), Univ Colorado, Natl Snow &amp; Ice Data Ctr, 1540 30th St, Boulder, CO 80309 USA.</t>
  </si>
  <si>
    <t>teds@nsidc.org</t>
  </si>
  <si>
    <t>Scambos, Ted A/B-1856-2009; Long, David G./K-4908-2015</t>
  </si>
  <si>
    <t>Long, David G./0000-0002-1852-3972; SCAMBOS, Ted A./0000-0003-4268-6322</t>
  </si>
  <si>
    <t>US National Science Foundation (NSF) [OPII-0540915]; NASA [NNG06GA69G]</t>
  </si>
  <si>
    <t>US National Science Foundation (NSF)(National Science Foundation (NSF)); NASA(National Aeronautics &amp; Space Administration (NASA))</t>
  </si>
  <si>
    <t>We thank J.C. Quinteros, R. del Valle and J. Thom for assistance during the field visits to the icebergs from Marambio station and the ARA Almirante Irizar in February and March 2006. Our thanks extend also to the military and civilian staff of Marambio and Irizar in particular to the pilots and meteorological personnel. D. MacAyeal provided inspiration and advice for this work. N. Humphrey provided the radio-echo Sounding system for the A22A installation. Up-to-date bathymetry plots (Fig. 3) were provided by F. Davey of GNS Science, Dunedin, New Zealand, based on the Gebco_ SandS_blend.bi2 bathymetry grid. L. Padman provided Tide model comparisons of iceberg drift. GPS drift plots were generated by GPSVisualizer.com software at http://www.demis.nl.ISS images were provided by the image Analysis Laboratory, NASA Johnson Space Centel. This work was Supported by US National Science Foundation (NSF) SGER grant OPII-0540915 and NASA grant NNG06GA69G.</t>
  </si>
  <si>
    <t>10.3189/002214308786570836</t>
  </si>
  <si>
    <t>374XF</t>
  </si>
  <si>
    <t>WOS:000261076300002</t>
  </si>
  <si>
    <t>Dowdeswell, JA; Evans, J; Mugford, R; Griffiths, G; McPhail, S; Millard, N; Stevenson, P; Brandon, MA; Banks, C; Heywood, KJ; Price, MR; Dodd, PA; Jenkins, A; Nicholls, KW; Hayes, D; Abrahamsen, EP; Tyler, P; Bett, B; Jones, D; Wadhams, P; Wilkinson, JP; Stansfield, K; Ackley, S</t>
  </si>
  <si>
    <t>Dowdeswell, J. A.; Evans, J.; Mugford, R.; Griffiths, G.; McPhail, S.; Millard, N.; Stevenson, P.; Brandon, M. A.; Banks, C.; Heywood, K. J.; Price, M. R.; Dodd, P. A.; Jenkins, A.; Nicholls, K. W.; Hayes, D.; Abrahamsen, E. P.; Tyler, P.; Bett, B.; Jones, D.; Wadhams, P.; Wilkinson, J. P.; Stansfield, K.; Ackley, S.</t>
  </si>
  <si>
    <t>Autonomous underwater vehicles (AUVs) and investigations of the ice-ocean interface in Antarctic and Arctic waters</t>
  </si>
  <si>
    <t>SEA-ICE; SHELF; GLACIER; ZONE; UNDERSIDE; STREAMS; SHEET; SOUTH</t>
  </si>
  <si>
    <t>Limitations of access have long restricted exploration and investigation of the cavities beneath ice shelves to a small number of drillholes. Studies of sea-ice underwater morphology are limited largely to scientific utilization of submarines. Remotely operated vehicles, tethered to a mother ship by umbilical cable, have been deployed to investigate tidewater-glacier and ice-shelf margins, but their range is often restricted. The development of free-flying autonomous underwater vehicles (AUVs) with ranges of tens to hundreds of kilometres enables extensive missions to take place beneath sea ice and floating ice shelves. Autosub2 is a 3600 kg, 6.7 m long AUV, with a 1600 m operating depth and range of 400 km, based on the earlier Autosub1 which had a 500 rn depth limit. A single direct-drive d.c. motor and five-bladed propeller produce speeds of 1-2 m s(-1). Rear-mounted rudder and stern-plane control yaw, pitch and depth. The vehicle has three sections. The front and rear sections are free-flooding, built around aluminium extrusion space-frames covered with glass-fibre reinforced plastic panels. The central section has a set of carbon-fibre reinforced plastic pressure vessels. Four tubes contain batteries powering the vehicle. The other three house vehicle-control systems and sensors. The rear section houses subsystems for navigation, control actuation and propulsion and scientific sensors (e.g. digital camera, upward-looking 300 kHz acoustic Doppler current profiler, 200 kHz multibeam receiver). The front section contains forward-looking collision sensor, emergency abort, the homing systems, Argos satellite data and location transmitters and flashing lights for relocation as well as science sensors (e.g. twin conductivity-temperature-depth instruments, multibeam transmitter, sub-bottom profiler, AquaLab water sampler). Payload restrictions mean that a subset of scientific instruments is actually in place on any given dive. The scientific instruments carried on Autosub are described and examples of observational data collected from each sensor in Arctic or Antarctic waters are given (e.g. of roughness at the underside of floating ice shelves and sea ice).</t>
  </si>
  <si>
    <t>[Dowdeswell, J. A.; Evans, J.; Mugford, R.] Univ Cambridge, Scott Polar Res Inst, Cambridge CB2 1ER, England; [Griffiths, G.; McPhail, S.; Millard, N.; Stevenson, P.] Univ Southampton, Natl Oceanog Ctr, Natl Marine Facil, Southampton SO14 3ZH, Hants, England; [Brandon, M. A.; Banks, C.] Open Univ, Dept Earth &amp; Environm Sci, Milton Keynes MK7 6AA, Bucks, England; [Heywood, K. J.; Price, M. R.; Dodd, P. A.] Univ E Anglia, Sch Environm Sci, Norwich NR4 7TJ, Norfolk, England; [Jenkins, A.; Nicholls, K. W.; Hayes, D.; Abrahamsen, E. P.] British Antarctic Survey, NERC, Cambridge CB3 0ET, England; [Tyler, P.; Bett, B.; Jones, D.] Univ Southampton, Natl Oceanog Ctr, Deep Sea Biol Grp, Southampton SO14 3ZH, Hants, England; [Wadhams, P.] Univ Cambridge, Dept Appl Math &amp; Theoret Phys, Cambridge CB3 0WA, England; [Wadhams, P.] Univ Paris 06, Lab Oceanog Villefranche, UMR 7093, F-06234 Villefranche Sur Mer, France; [Wilkinson, J. P.] Dunstaffnage Marine Res Lab, Scottish Assoc Marine Sci, Oban PA37 1QA, Argyll, Scotland; [Stansfield, K.] Univ Southampton, Natl Oceanog CTR, Ocean Observing &amp; Climate Grp, Southampton SO14 3ZH, Hants, England; [Ackley, S.] Univ Texas San Antonio, Dept Earth &amp; Environm Sci, San Antonio, TX 78249 USA</t>
  </si>
  <si>
    <t>University of Cambridge; NERC National Oceanography Centre; University of Southampton; Open University - UK; University of East Anglia; UK Research &amp; Innovation (UKRI); Natural Environment Research Council (NERC); NERC British Antarctic Survey; NERC National Oceanography Centre; University of Southampton; University of Cambridge; Centre National de la Recherche Scientifique (CNRS); CNRS - National Institute for Earth Sciences &amp; Astronomy (INSU); Sorbonne Universite; UHI Millennium Institute; University of Southampton; NERC National Oceanography Centre; University of Texas System; University of Texas at San Antonio (UTSA)</t>
  </si>
  <si>
    <t>Dowdeswell, JA (corresponding author), Univ Cambridge, Scott Polar Res Inst, Lensfield Rd, Cambridge CB2 1ER, England.</t>
  </si>
  <si>
    <t>jd16@cam.ac.uk</t>
  </si>
  <si>
    <t>N, Keith/E-9126-2010; Abrahamsen, Povl/B-2140-2008; Brandon, Mark A/A-5804-2010; Evans, Jeffrey/F-5548-2010; Jones, Daniel/A-3412-2009; Banks, Chris J/A-5334-2012; Jenkins, Adrian/IUN-2406-2023; oudin, olivier/G-4613-2015; Heywood, Karen/L-1757-2016</t>
  </si>
  <si>
    <t>Abrahamsen, Povl/0000-0001-5924-5350; Jones, Daniel/0000-0001-5218-1649; Heywood, Karen/0000-0001-9859-0026; Banks, Christopher/0000-0003-4457-0876; Jenkins, Adrian/0000-0002-9117-0616; Dowdeswell, Julian/0000-0003-1369-9482; Brandon, Mark/0000-0002-7779-0958</t>
  </si>
  <si>
    <t>Autosub Under Ice; NERC [bas010014] Funding Source: UKRI; Natural Environment Research Council [bas010014] Funding Source: researchfish</t>
  </si>
  <si>
    <t>Autosub Under Ice; NERC(UK Research &amp; Innovation (UKRI)Natural Environment Research Council (NERC)); Natural Environment Research Council(UK Research &amp; Innovation (UKRI)Natural Environment Research Council (NERC))</t>
  </si>
  <si>
    <t>This work was supported by the Autosub Under Ice The matic Programme of the UK Natural Environment Research Council (Programme Chair, S. Ackley; Programme Manager, K. Collins). We are grateful to the Autosub Technical Team and the officers and crew of RRS James Clark Ross for their invaluable contributions on four Autosub cruises.</t>
  </si>
  <si>
    <t>10.3189/002214308786570773</t>
  </si>
  <si>
    <t>Green Published, Bronze, Green Accepted</t>
  </si>
  <si>
    <t>WOS:000261076300009</t>
  </si>
  <si>
    <t>Abram, NJ; Curran, MAJ; Mulvaney, R; Vance, T</t>
  </si>
  <si>
    <t>Abram, Nerilie J.; Curran, Mark A. J.; Mulvaney, Robert; Vance, Tessa</t>
  </si>
  <si>
    <t>The preservation of methanesulphonic acid in frozen ice-core samples</t>
  </si>
  <si>
    <t>SEA-ICE; METHANE SULFONATE; MIGRATION; MOVEMENT</t>
  </si>
  <si>
    <t>Ice-core records of methanesulphonic acid (MSA) provide a potentially powerful tool for producing proxy records of sea ice, a critical but poorly understood component of the Earth's climate system. However, MSA is able to diffuse through solid ice, and here we examine the effect of two different methods of frozen storage on the preservation of MSA in archived ice-core samples. Re-analysis of archived ice sticks confirms that MSA diffuses out of ice cores archived in this manner. Despite MSA losses of up to 39% after 7 years storage, the ice sticks studied here preserve much of the variability of the original MSA record, suggesting that useful proxy records can be obtained from archived ice sticks. Furthermore, re-analysis of ice-core samples that had been refrozen into discrete bottled samples for storage demonstrates that it is possible to archive ice samples in a way that prevents MSA loss. In this case, accurate records of MSA variability and concentration were preserved even over storage periods of 15 years. This has important implications for the storage of ice cores and subsequent determination of MSA, and demonstrates that ice storage history needs to be considered when interpreting MSA records.</t>
  </si>
  <si>
    <t>[Abram, Nerilie J.; Mulvaney, Robert] British Antarctic Survey, NERC, Cambridge CB3 0ET, England; [Curran, Mark A. J.; Vance, Tessa] Australian Antarctic Div, Hobart, Tas 7001, Australia; [Curran, Mark A. J.; Vance, Tessa] Antarctic Climate Ecosyst CRC, Hobart, Tas 7001, Australia</t>
  </si>
  <si>
    <t>UK Research &amp; Innovation (UKRI); Natural Environment Research Council (NERC); NERC British Antarctic Survey; Australian Antarctic Division; University of Tasmania</t>
  </si>
  <si>
    <t>Abram, NJ (corresponding author), British Antarctic Survey, NERC, Madingley Rd, Cambridge CB3 0ET, England.</t>
  </si>
  <si>
    <t>NABR@bas.ac.uk</t>
  </si>
  <si>
    <t>Abram, Nerilie/AAT-5171-2021; Mulvaney, Robert/K-3929-2012</t>
  </si>
  <si>
    <t>Vance, Tessa/0000-0001-6970-8646; Mulvaney, Robert/0000-0002-5372-8148; Abram, Nerilie/0000-0003-1246-2344</t>
  </si>
  <si>
    <t>10.3189/002214308786570890</t>
  </si>
  <si>
    <t>WOS:000261076300011</t>
  </si>
  <si>
    <t>Adalgeirsdóttir, G; Smith, AM; Murray, T; King, MA; Makinson, K; Nicholls, KW; Behar, AE</t>
  </si>
  <si>
    <t>Adalgeirsdottir, G.; Smith, A. M.; Murray, T.; King, M. A.; Makinson, K.; Nicholls, K. W.; Behar, A. E.</t>
  </si>
  <si>
    <t>Tidal influence on Rutford Ice Stream, West Antarctica: observations of surface flow and basal processes from closely spaced GPS and passive seismic stations</t>
  </si>
  <si>
    <t>GROUNDING LINES; GLACIER; SHELF; BENEATH; DYNAMICS</t>
  </si>
  <si>
    <t>High-resolution surface velocity measurements and passive seismic observations from Rutford Ice Stream, West Antarctica, 40 km upstream from the grounding line are presented. These measurements indicate a complex relationship between the ocean tides and currents, basal conditions and ice-stream flow. Both the mean basal seismicity and the velocity of the ice stream are modulated by the tides. Seismic activity increases twice during each semi-diurnal tidal cycle. The tidal analysis shows the largest velocity variation is at the fortnightly period, with smaller variations superimposed at diurnal and semi-diurnal frequencies. The general pattern of the observed velocity is two velocity peaks during each semi-diurnal tidal cycle, but sometimes three peaks are observed. This pattern of two or three peaks is more regular during spring tides, when the largest-amplitude velocity variations are observed, than during neap tides. This is the first time that velocity and level of seismicity are shown to correlate and respond to tidal forcing as far as 40 km upstream from the grounding line of a large ice stream.</t>
  </si>
  <si>
    <t>[Adalgeirsdottir, G.; Murray, T.] Univ Wales Swansea, Dept Geog, Swansea SA2 8PP, W Glam, Wales; [Smith, A. M.; Makinson, K.; Nicholls, K. W.] British Antarctic Survey, NERC, Div Phys Sci, Cambridge CB3 0ET, England; [King, M. A.] Newcastle Univ, Sch Civil Engn &amp; Geosci, Newcastle Upon Tyne NE1 7RU, Tyne &amp; Wear, England; [Behar, A. E.] CALTECH, Jet Prop Lab, Robot Vehicles Grp, Pasadena, CA 91109 USA</t>
  </si>
  <si>
    <t>Swansea University; UK Research &amp; Innovation (UKRI); Natural Environment Research Council (NERC); NERC British Antarctic Survey; Newcastle University - UK; California Institute of Technology; National Aeronautics &amp; Space Administration (NASA); NASA Jet Propulsion Laboratory (JPL)</t>
  </si>
  <si>
    <t>Adalgeirsdóttir, G (corresponding author), Univ Wales Swansea, Dept Geog, Singleton Pk, Swansea SA2 8PP, W Glam, Wales.</t>
  </si>
  <si>
    <t>gua@dmi.dk</t>
  </si>
  <si>
    <t>Makinson, Keith/A-2495-2013; Adalgeirsdottir, Gudfinna/M-3073-2015; King, Matt/B-4622-2008; Facility, NERC Geophysical Equipment/G-5260-2010</t>
  </si>
  <si>
    <t>Makinson, Keith/0000-0002-5791-1767; King, Matt/0000-0001-5611-9498; Murray, Tavi/0000-0001-6714-6512</t>
  </si>
  <si>
    <t>UK National Environmental Research Council (NERC); Antarctic Funding Initiative (AFI) [GRYG005]; British Antarctic Survey (BAS); NASA; BAS; Leverhulme Trust Fellowship; M.A.K; NERC postdoctoral research fellowship; NERC [bas010018] Funding Source: UKRI; Natural Environment Research Council [bas010018] Funding Source: researchfish</t>
  </si>
  <si>
    <t>UK National Environmental Research Council (NERC)(UK Research &amp; Innovation (UKRI)Natural Environment Research Council (NERC)); Antarctic Funding Initiative (AFI); British Antarctic Survey (BAS); NASA(National Aeronautics &amp; Space Administration (NASA)); BAS; Leverhulme Trust Fellowship(Leverhulme Trust); M.A.K; NERC postdoctoral research fellowship(UK Research &amp; Innovation (UKRI)Natural Environment Research Council (NERC)); NERC(UK Research &amp; Innovation (UKRI)Natural Environment Research Council (NERC)); Natural Environment Research Council(UK Research &amp; Innovation (UKRI)Natural Environment Research Council (NERC))</t>
  </si>
  <si>
    <t>This project was funded by the UK National Environmental Research Council (NERC) Antarctic Funding Initiative (AFI) (GRYG005), the British Antarctic Survey (BAS) and NASA. Field support was provided by BAS. Equipment was Supplied by NERC Geophysical Equipment Facility (loans 510 and 7 7). T.M. was supported by a Leverhulme Trust Fellowship and M.A.K. by a NERC postdoctoral research fellowship. We thank S. Abrahmas, A. Cottle, G. Kirk, J. Ralph, A. Taylor and J. Withers for hell) with data acquisition. We acknowledge the use of the software packages Track (GAMIT) and T-Tide for GPS data processing and harmonic analysis, respectively, and G. Weedon for discussions about time-series analysis. Thorough comments from three anonymous revievlers improved the quality of this paper considerably.</t>
  </si>
  <si>
    <t>10.3189/002214308786570872</t>
  </si>
  <si>
    <t>WOS:000261076300015</t>
  </si>
  <si>
    <t>Lacroix, P; Legrésy, B; Langley, K; Hamran, SE; Kohler, J; Roques, S; Rémy, F; Dechambre, M</t>
  </si>
  <si>
    <t>Lacroix, P.; Legresy, B.; Langley, K.; Hamran, S. E.; Kohler, J.; Roques, S.; Remy, F.; Dechambre, M.</t>
  </si>
  <si>
    <t>In situ measurements of snow surface roughness using a laser profiler</t>
  </si>
  <si>
    <t>EMPIRICAL MODE DECOMPOSITION; ANTARCTIC ICE-SHEET; GLACIER SURFACE; ALTIMETER; ACCUMULATION; BACKSCATTER; ENVISAT; SAR</t>
  </si>
  <si>
    <t>The snow surface roughness at centimetre and millimetre scales is an important parameter related to wind transport, snowdrifts, snowfall, snowmelt and snow grain size. Knowledge of the snow surface roughness is also of high interest for analyzing the signal from radar sensors such as SAR, altimeters and scatterometers. Unfortunately, this parameter has seldom been measured over snow surfaces. The techniques used to measure the roughness of other surfaces, such as agricultural or sand soils, are difficult to implement in polar regions because of the harsh climatic conditions. In this paper we develop a device based on a laser profiler coupled with a GPS receiver on board a snowmobile. This instrumentation was tested successfully in midre Lovenbreen, Svalbard, in April 2006. It allowed us to generate profiles of 3 km sections of the snow-covered glacier surface. Because of the motion of the snowmobile, the roughness signal is mixed with the snowmobile signal. We use a distance/frequency analysis (the empirical mode decomposition) to filter the signal. This method allows us to recover the snow surface structures of wavelengths between 4 and 50 cm with amplitudes of &gt;1 mm. Finally, the roughness parameters of snow surfaces are retrieved. The snow surface roughness is found to be dependent on the scales of the observations. The retrieved RMS of the height distribution is found to vary between 0.5 and 9.2 mm, and the correlation length is found to be between 0.6 and 46 cm. This range of measurements is particularly well adapted to the analysis of GHz radar response on snow surfaces.</t>
  </si>
  <si>
    <t>[Lacroix, P.; Legresy, B.; Remy, F.] Legos, F-31401 Toulouse, France; [Langley, K.; Hamran, S. E.] Univ Oslo, NO-0316 Oslo, Norway; [Kohler, J.] Norwegian Polar Res Inst, NO-9296 Tromso, Norway; [Roques, S.] Lab Astrophys Toulouse Tarbes, F-31401 Toulouse, France; [Dechambre, M.] Ctr Etud Environm Terrestres &amp; Planetaires, F-78140 Velizy Villacoublay, France</t>
  </si>
  <si>
    <t>Universite de Toulouse; Universite Toulouse III - Paul Sabatier; Centre National de la Recherche Scientifique (CNRS); Institut de Recherche pour le Developpement (IRD); Laboratoire d'Etudes en Geophysique et oceanographie spatiales; University of Oslo; Norwegian Polar Institute</t>
  </si>
  <si>
    <t>Lacroix, P (corresponding author), Legos, 18 Av Edouard Belin, F-31401 Toulouse, France.</t>
  </si>
  <si>
    <t>Pascal.Lacroix@legos.obs-mip.fr</t>
  </si>
  <si>
    <t>Lacroix, Pascal/A-4205-2010; legresy, benoit/K-6673-2018</t>
  </si>
  <si>
    <t>legresy, benoit/0000-0002-1909-1630; Lacroix, Pascal/0000-0003-1282-9572; Kohler, Jack/0000-0003-1963-054X</t>
  </si>
  <si>
    <t>10.3189/002214308786570863</t>
  </si>
  <si>
    <t>WOS:000261076300018</t>
  </si>
  <si>
    <t>McGwire, KC; McConnell, JR; Alley, RB; Banta, JR; Hargreaves, GM; Taylor, KC</t>
  </si>
  <si>
    <t>McGwire, Kenneth C.; McConnell, Joseph R.; Alley, Richard B.; Banta, John R.; Hargreaves, Geoffrey M.; Taylor, Kendrick C.</t>
  </si>
  <si>
    <t>Dating annual layers of a shallow Antarctic ice core with an optical scanner</t>
  </si>
  <si>
    <t>CENTRAL GREENLAND; POLAR FIRN; ACCUMULATION; NORTHGRIP; RECORDS; GISP2; HOAR; DOME</t>
  </si>
  <si>
    <t>This study tests novel methods for automatically identifying annual layers in a shallow Antarctic ice core (WDC05Q) using images that were collected with an optical scanner at the US National Ice Core Laboratory. A new method of optimized variance maximization (OVM) modeled the density-related changes in annual layer thickness directly from image variance. This was done by using multi-objective complex (MOCOM) parameter optimization to drive a low-pass filtering scheme. The OVM-derived changes in annual layer thickness corresponded well with the results of an independent glaciochemical interpretation of the core. Individual annual cycles in image brightness were then identified by using OVM results to apply a depth-varying low-pass filter and fitting a second-order polynomial to a locally detrended neighborhood. The resulting map of annual cycles agreed to within 1% of the overall annual count of the glaciochemical interpretation. Agreement on the presence of specific annual layer features was 96%. It was also shown that the MOCOM parameter optimization could calibrate the image-based results to match directly the date of a specific volcanic marker.</t>
  </si>
  <si>
    <t>[McGwire, Kenneth C.; McConnell, Joseph R.; Banta, John R.; Taylor, Kendrick C.] Desert Res Inst, Reno, NV 89512 USA; [Alley, Richard B.] Penn State Univ, Dept Geosci, University Pk, PA 16802 USA; [Hargreaves, Geoffrey M.] US Natl Ice Core Lab, USGS, DFC, Denver, CO 80225 USA</t>
  </si>
  <si>
    <t>Nevada System of Higher Education (NSHE); Desert Research Institute NSHE; Pennsylvania Commonwealth System of Higher Education (PCSHE); Pennsylvania State University; Pennsylvania State University - University Park; United States Department of the Interior; United States Geological Survey</t>
  </si>
  <si>
    <t>McGwire, KC (corresponding author), Desert Res Inst, 2215 Raggio Pkwy, Reno, NV 89512 USA.</t>
  </si>
  <si>
    <t>kenm@dri.edu</t>
  </si>
  <si>
    <t>Taylor, Kendrick/A-3469-2016</t>
  </si>
  <si>
    <t>Taylor, Kendrick/0000-0001-8535-1261</t>
  </si>
  <si>
    <t>US National Science Foundation (NSF) [OPP-0637004]; NSF OPP [0230149, 0440447, 0440817, 0440819, 0538427, 0539578]; Directorate For Geosciences; Division Of Polar Programs [0230149, 0440819] Funding Source: National Science Foundation; Directorate For Geosciences; Office of Polar Programs (OPP) [0539578] Funding Source: National Science Foundation; Division Of Polar Programs; Directorate For Geosciences [0440817] Funding Source: National Science Foundation; Office of Polar Programs (OPP); Directorate For Geosciences [0944348, 0440447, 0538427] Funding Source: National Science Foundation</t>
  </si>
  <si>
    <t>US National Science Foundation (NSF)(National Science Foundation (NSF)); NSF OPP(National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</si>
  <si>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work was funded by grant OPP-0637004 of the US National Science Foundation (NSF) Office of Polar Programs (OPP) and relied on efforts and data collected by NSF OPP awards 0230149, 0440447, 0440817, 0440819, 0538427 and 0539578. The hardware system for optical imaging was constructed by G. Hargreaves of the US National Ice Core Laboratory. Special thanks to the US Geological Survey (USGS) personnel and interns of NICL in supporting this effort, including T. Hinkley and E. Cravens. Thanks to R. Edwards, T. Cox, A. Fllis and C. Fox for assistance in the Desert Research Institute ultra-trace ice-core laboratory. Thanks to M. Spencer of Pennsylvania State University. Thanks to J. Vrugt for sharing his MATLAB (TM) version of the MOCOM code.</t>
  </si>
  <si>
    <t>10.3189/002214308787780021</t>
  </si>
  <si>
    <t>416WS</t>
  </si>
  <si>
    <t>WOS:000264036800007</t>
  </si>
  <si>
    <t>Gray, L; Conway, H; King, E; Smith, B</t>
  </si>
  <si>
    <t>Gray, Laurence; Conway, Howard; King, Ed; Smith, Ben</t>
  </si>
  <si>
    <t>Flow stripes, GPR stratigraphy and RADARSAT imagery</t>
  </si>
  <si>
    <t>KAMB ICE STREAM; WEST ANTARCTICA; PENETRATION; SNOW</t>
  </si>
  <si>
    <t>[Gray, Laurence] Canada Ctr Remote Sensing, Ottawa, ON K1A 0Y7, Canada; [Conway, Howard] Univ Washington, Dept Earth &amp; Space Sci, Seattle, WA 98195 USA; [King, Ed] British Antarctic Survey, Nat Environm Res Council, Cambridge CB3 0ET, England; [Smith, Ben] Univ Washington, Polar Sci Ctr, Adv Phys Lab, Seattle, WA 98105 USA</t>
  </si>
  <si>
    <t>Natural Resources Canada; Strategic Policy &amp; Results Sector - Natural Resources Canada; Canada Centre for Mapping &amp; Earth Observation (CCMEO); University of Washington; University of Washington Seattle; UK Research &amp; Innovation (UKRI); Natural Environment Research Council (NERC); NERC British Antarctic Survey; University of Washington; University of Washington Seattle</t>
  </si>
  <si>
    <t>Gray, L (corresponding author), Canada Ctr Remote Sensing, 588 Booth St, Ottawa, ON K1A 0Y7, Canada.</t>
  </si>
  <si>
    <t>Laurence.Gray@nrcan.gc.ca</t>
  </si>
  <si>
    <t>Conway, Howard/0000-0003-4634-3474</t>
  </si>
  <si>
    <t>Natural Environment Research Council [bas010018] Funding Source: researchfish; NERC [bas010018] Funding Source: UKRI</t>
  </si>
  <si>
    <t>10.3189/002214308787780030</t>
  </si>
  <si>
    <t>WOS:000264036800017</t>
  </si>
  <si>
    <t>Eastman, JT; Lannoo, MJ</t>
  </si>
  <si>
    <t>Eastman, Joseph T.; Lannoo, Michael J.</t>
  </si>
  <si>
    <t>Brain and sense organ anatomy and histology of the Falkland Islands mullet, Eleginops maclovinus (Eleginopidae), the sister group of the Antarctic notothenioid fishes (Perciformes: Notothenioidei)</t>
  </si>
  <si>
    <t>JOURNAL OF MORPHOLOGY</t>
  </si>
  <si>
    <t>brain histology; retinal histology; cephalic lateral line system; olfactory system</t>
  </si>
  <si>
    <t>BASS DICENTRARCHUS-LABRAX; LATERAL-LINE SYSTEM; PAGOTHENIA-BORCHGREVINKI; COLD ADAPTATION; PLANKTONIC PREY; CICHLID FISH; ROSS SEA; MORPHOLOGY; EVOLUTION; PATTERNS</t>
  </si>
  <si>
    <t>The perciform notothenioid fish Eleginops maclovinus, representing the monotypic family Eleginopidae, has a non-Antarctic distribution in the Falkland Islands and southern South America. It is the sister group of the five families and 103 species of Antarctic notothenioids that dominate the cold shelf waters of Antarctica. Eleginops is the ideal subject for documenting the ancestral morphology of nervous and sensory systems that have not had historical exposure to the unusual Antarctic thermal and light regimes, and for comparing these systems with those of the phyletically derived Antarctic species. We present a detailed description of the brain and cranial nerves of Eleginops and ask how does the neural and sensory morphology of this non-Antarctic notothenioid differ from that seen in the phyletically derived Antarctic notothenioids? The brain of Eleginops is similar to those of visually oriented temperate and tropical perciforms. The tecturn is smaller but it has well-developed olfactory and mechanoreceptive lateral line areas and a large, caudally projecting corpus cerebellum. Eye diameter is about twofold smaller in Eleginops than in many Antarctic species. Eleginops has a duplex (rod and cone) retina with single and occasional twin cones conspicuous centrally. Ocular vascular structures include a large choroid rete mirabile and a small lentiform body; a falciform process and hyaloid arteries are absent. The olfactory rosette is oval with 50-55 lamellae, a large number for notothenioids. The inconspicuous bony canals of the cephalic lateral line system are simple with membranous secondary branches that lack neuromasts. In Antarctic species, the corpus cerebellum is the most variable brain region, ranging in size from large and caudally projecting to small and round. Stalked brains showing reduction in the size of the telencephalon, tectum, and corpus cerebellum are present in the deep-living artedidraconid Dolloidraco longedorsalis and in most of the deep-living members of the Bathydraconini. Eye diameter is generally larger in Antarctic species but there is a phylogenetic loss of cellularity in the retina, including cone photoreceptors. Some deep-living Antarctic species have lost most of their cones. Mechanosensation is expanded in some species, most notably the nototheniid Pleuragramma antarcticum, the artedidraconid genera Dolloidraco and Pogonophryne, and the deep living members of the bathydraconid tribe Bathydraconini. Reduction in retinal cellularity, expansion of mechanoreception, and stalking are the most noteworthy departures from the morphology seen in Eleginops. These features reflect a modest depth or deep-sea effect, and they are not uniquely Antarctic attributes. Thus, at the level of organ system morphology, perciform brain and sensory systems are suitable for conditions on the Antarctic shelf, with only minor alterations in structure in directions exhibited by other fish groups inhabiting deep water. Notothenioids retain a relative balance among their array of senses that reflects their heritage as inshore perciforms.</t>
  </si>
  <si>
    <t>[Eastman, Joseph T.] Ohio Univ, Coll Osteopath Med, Dept Biomed Sci, Athens, OH 45701 USA; [Lannoo, Michael J.] Indiana State Univ, Indiana Univ Sch Med Terre Haute, Terre Haute, IN 47809 USA</t>
  </si>
  <si>
    <t>University System of Ohio; Ohio University; Indiana State University; Indiana University System</t>
  </si>
  <si>
    <t>Eastman, JT (corresponding author), Ohio Univ, Coll Osteopath Med, Dept Biomed Sci, Athens, OH 45701 USA.</t>
  </si>
  <si>
    <t>eastman@ohiou.edu</t>
  </si>
  <si>
    <t>Eastman, Joseph T/A-9786-2008; Eastman, Joseph T./O-6150-2019</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</si>
  <si>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</si>
  <si>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</si>
  <si>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</si>
  <si>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</si>
  <si>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</si>
  <si>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</si>
  <si>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</si>
  <si>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10.1002/jmor.10571</t>
  </si>
  <si>
    <t>Anatomy &amp; Morphology</t>
  </si>
  <si>
    <t>249AF</t>
  </si>
  <si>
    <t>WOS:000252198000007</t>
  </si>
  <si>
    <t>Wilbert, N; Song, W</t>
  </si>
  <si>
    <t>Wilbert, Norbert; Song, Weibo</t>
  </si>
  <si>
    <t>A further study on littoral ciliates (Protozoa, Ciliophora) near King George Island, Antarctica, with description of a new genus and seven new species</t>
  </si>
  <si>
    <t>JOURNAL OF NATURAL HISTORY</t>
  </si>
  <si>
    <t>Antarctic ciliates; taxonomy and morphology; new genus and new species</t>
  </si>
  <si>
    <t>SEA-ICE; NOV-SPEC; CHINA SEA; SP-N; MORPHOLOGY; MORPHOGENESIS; HYPOTRICHIDA; SCUTICOCILIATIDA; DIOPHRYS; TAXONOMY</t>
  </si>
  <si>
    <t>Twenty-eight littoral ciliates including one new genus and seven new species were collected from King George Island, Antarctica. Among them, 21 species are morphologically and taxonomically described in this paper: Bickella antarctica nov. gen., nov. spec., Chlamydonella apoprostomata nov. spec., Condylostoma spatiosum Ozaki and Yagiu in Yagiu, 1944, Diophrys scutum Dujardin, 1842, Diophrys aff. oligothrix Borror, 1965, Diophrys appendiculata (Ehrenberg, 1838), Euplotes balteatus (Dujardin, 1841), Euplotes dragescoi nov. spec., Euplotes petzi nov. spec., Euplotes rariseta Curds et al., 1974, Euplotes vannus (Mueller, 1786), Hartmannula angustipilosa Deroux and Dragesco, 1968, Hemigastrostyla szaboi Wilbert and Song, 2005, Holosticha antarctica nov. spec., Holosticha apodiademata nov. spec., Holosticha diademata (Rees, 1884), Litonotus sp., Metaurostylopsis marina (Kahl, 1932), Pleuronema coronatum Kent, 1881, Pseudocohnilembus persalinus Evans and Thompson, 1964, Urotricha antarctica nov. spec. The new genus, Bickella nov. gen., is a free-swimming folliculinid having typical Folliculina morphology except for the absence of lorica.</t>
  </si>
  <si>
    <t>[Wilbert, Norbert] Univ Bonn, Inst Mol Physiol &amp; Entwicklungsbiol, D-5300 Bonn, Germany; [Song, Weibo] Ocean Univ China, Lab Protozool, Qingdao, Peoples R China</t>
  </si>
  <si>
    <t>University of Bonn; Ocean University of China</t>
  </si>
  <si>
    <t>Wilbert, N (corresponding author), Univ Bonn, Inst Mol Physiol &amp; Entwicklungsbiol, D-5300 Bonn, Germany.</t>
  </si>
  <si>
    <t>Wilbert@uni-bonn.de</t>
  </si>
  <si>
    <t>0022-2933</t>
  </si>
  <si>
    <t>J NAT HIST</t>
  </si>
  <si>
    <t>J. Nat. Hist.</t>
  </si>
  <si>
    <t>13-14</t>
  </si>
  <si>
    <t>10.1080/00222930701877540</t>
  </si>
  <si>
    <t>Biodiversity Conservation; Ecology; Zoology</t>
  </si>
  <si>
    <t>Biodiversity &amp; Conservation; Environmental Sciences &amp; Ecology; Zoology</t>
  </si>
  <si>
    <t>316QP</t>
  </si>
  <si>
    <t>WOS:000256965100001</t>
  </si>
  <si>
    <t>Markhaseva, EL; Schulz, K; Arbizu, PM</t>
  </si>
  <si>
    <t>Markhaseva, Elena L.; Schulz, Knud; Arbizu, Pedro Martinez</t>
  </si>
  <si>
    <t>New family and genus Rostrocalanus gen. nov (Crustacea: Calanoida: Rostrocalanidae fam. nov.) from deep Atlantic waters</t>
  </si>
  <si>
    <t>benthopelagic abyss; copepoda; Calanoida; Rostrocalanidae fam. nov.; Rostrocalanus gen. nov.</t>
  </si>
  <si>
    <t>NEOSCOLECITHRIX CANU; BENTHOPELAGIC WATERS; EPIBENTHIC SLEDGE; TROPICAL PACIFIC; ANTARCTIC OCEAN; WEDDELL SEA; COPEPODA; SCOLECITRICHIDAE; PHAENNIDAE; BOTTOM</t>
  </si>
  <si>
    <t>Two new species of a new genus and family Rostrocalanidae of benthopelagic clausocalanoid copepods are described from female specimens collected from abyssal depths close to the sea bed in the tropical Atlantic. Rostrocalanus gen. nov. shares the presence of sensory setae on maxilla with other bradfordian families of Clausocalanoidea, but does not fit the diagnosis of any of these families. A family Rostrocalanidae is established for this new genus and is defined by the following derived characters: four-segmented exopod of mandible supplied with four setae; distal basal endite of maxillule fused to endopod and bearing five setae in total; endopod of maxilla furnished with six worm-like sensory setae; arrangement of setal numbers on praecoxal endites of maxilliped syncoxa as 0, 1, 2. The establishment of a new clausocalanoidean family sheds new light on the morphological diversity of bradfordian benthopelagic copepods and adds to the biodiversity of the deep-water calanoid fauna.</t>
  </si>
  <si>
    <t>[Markhaseva, Elena L.] Russian Acad Sci, Inst Zool, St Petersburg 199034, Russia; [Schulz, Knud] DZMB Senckenberg, Biozentrum Grindel &amp; Zool Museum, Hamburg, Germany; [Arbizu, Pedro Martinez] DZMB Forsch Inst Senckenberg, Wilhelmshaven, Germany</t>
  </si>
  <si>
    <t>Russian Academy of Sciences; Zoological Institute of the Russian Academy of Sciences; University of Hamburg</t>
  </si>
  <si>
    <t>Markhaseva, EL (corresponding author), Russian Acad Sci, Inst Zool, St Petersburg 199034, Russia.</t>
  </si>
  <si>
    <t>copepoda@zin.ru</t>
  </si>
  <si>
    <t>Markhaseva, Elena L/R-1832-2017</t>
  </si>
  <si>
    <t>Martinez-Arbizu, Pedro/0000-0002-0891-1154</t>
  </si>
  <si>
    <t>Russian Foundation for Basic Research [08-04-00150a]</t>
  </si>
  <si>
    <t>The authors thank Prof Angelika Brandt for providing the unsorted copepod fractions of ANDEEP III and DIVA I expeditions, which yielded the specimens analysed in this paper. Research of E. L. Markhaseva at Deutsches Zentrum fur Marine Biodiversitatsforschung (DZMB-Senckenberg, Biozentrum Grindel &amp; Zoologisches Museum Hamburg (Zoological Museum Hamburg) was funded by CeDAMar (Census of the Diversity of Abyssal Marine Life) and supported by grant 08-04-00150a of the Russian Foundation for Basic Research.</t>
  </si>
  <si>
    <t>1464-5262</t>
  </si>
  <si>
    <t>37-38</t>
  </si>
  <si>
    <t>10.1080/00222930802254771</t>
  </si>
  <si>
    <t>353WD</t>
  </si>
  <si>
    <t>WOS:000259598700002</t>
  </si>
  <si>
    <t>Cromer, L; Gibson, JAE; McInnes, SJ; Agius, JT</t>
  </si>
  <si>
    <t>Cromer, Louise; Gibson, John A. E.; McInnes, Sandra J.; Agius, Janelle T.</t>
  </si>
  <si>
    <t>Tardigrade remains from lake sediments</t>
  </si>
  <si>
    <t>JOURNAL OF PALEOLIMNOLOGY</t>
  </si>
  <si>
    <t>Tardigrada; Antarctica; freshwater lake; biogeography; sediment core; tardigrade eggs; exuvia</t>
  </si>
  <si>
    <t>EAST ANTARCTICA; MOLECULAR EVIDENCE; HOLOCENE; CALIBRATION; PENINSULA; FAUNA</t>
  </si>
  <si>
    <t>Remains of tardigrades have rarely been reported to preserve in sediments, resulting in the absence of important ecological and biogeographic information that they could provide. However, a study of faunal microfossils in Antarctic lake sediment cores has shown that tardigrade eggs and occasionally exuvia can be abundant. Eggs from at least five tardigrade species were identified in sediment cores from six lakes from across the continent, with abundances up to 6,000 (g(-1) dry wt.). It is likely that the cold temperatures and absence of benthic grazers in Antarctic lakes results in particularly good preservation conditions, though it may also be a function of population density. The conservation of tardigrade eggs and exuvia in lake sediments enables a better understanding of paleodistributions and effects of environmental changes for this phylum that cannot otherwise be obtained.</t>
  </si>
  <si>
    <t>[Cromer, Louise; Gibson, John A. E.] Univ Tasmania, Sch Zool, Hobart, Tas 7001, Australia; [Gibson, John A. E.; Agius, Janelle T.] Univ Tasmania, IASOS, Hobart, Tas 7001, Australia; [McInnes, Sandra J.] British Antarctic Survey, NERC, Cambridge CB3 0ET, England</t>
  </si>
  <si>
    <t>University of Tasmania; University of Tasmania; UK Research &amp; Innovation (UKRI); Natural Environment Research Council (NERC); NERC British Antarctic Survey</t>
  </si>
  <si>
    <t>Cromer, L (corresponding author), Univ Tasmania, Sch Zool, Private Bag 5, Hobart, Tas 7001, Australia.</t>
  </si>
  <si>
    <t>cromer@pages.unibe.ch</t>
  </si>
  <si>
    <t>McInnes, Sandra/AAN-4773-2020; Newman, Louise/Q-8592-2019</t>
  </si>
  <si>
    <t>McInnes, Sandra/0000-0003-3403-9379; Newman, Louise/0000-0001-9523-8713</t>
  </si>
  <si>
    <t>0921-2728</t>
  </si>
  <si>
    <t>J PALEOLIMNOL</t>
  </si>
  <si>
    <t>J. Paleolimn.</t>
  </si>
  <si>
    <t>10.1007/s10933-007-9102-5</t>
  </si>
  <si>
    <t>Environmental Sciences; Geosciences, Multidisciplinary; Limnology</t>
  </si>
  <si>
    <t>Environmental Sciences &amp; Ecology; Geology; Marine &amp; Freshwater Biology</t>
  </si>
  <si>
    <t>242MY</t>
  </si>
  <si>
    <t>WOS:000251730600013</t>
  </si>
  <si>
    <t>Popescu, IV; Balabanski, DL; Danchev, M; Gourev, VN; Badica, T; Stihi, C; Dima, G; Petre, M; Gheboianu, A</t>
  </si>
  <si>
    <t>Popescu, Ion V.; Balabanski, Dimiter L.; Danchev, M.; Gourev, V. N.; Badica, T.; Stihi, Claudia; Dima, Gabriel; Petre, M.; Gheboianu, Anca</t>
  </si>
  <si>
    <t>PIXE ANALYTICAL METHODS APPLIED IN ENVIRONMENTAL</t>
  </si>
  <si>
    <t>JOURNAL OF SCIENCE AND ARTS</t>
  </si>
  <si>
    <t>PIXE; pollution; heavy metal</t>
  </si>
  <si>
    <t>Nuclear Analytical Methods can be used for research activities on environmental studies like water quality assessment, pesticide residues, global climatic change (transboundary), pollution and remediation. Prominent features of NAMs are sensitivity, selectivity, multielement determination and linearity of the calibration function. In this article we present the analytical methods PIXE Particle Induced X-rays Excitation) with applications in trace elements analysis on aerosol and antarctic samples.</t>
  </si>
  <si>
    <t>[Popescu, Ion V.; Stihi, Claudia; Dima, Gabriel; Gheboianu, Anca] Valahia Univ Targoviste, Sci Dept, Targoviste, Romania; [Popescu, Ion V.; Badica, T.; Petre, M.] Inst Phys &amp; Nucl Engn, Bucharest, Romania; [Popescu, Ion V.] Acad Romanian Scientists, Bucharest, Romania; [Balabanski, Dimiter L.; Danchev, M.; Gourev, V. N.] St Kliment Ohridsky Univ Sofia, Fac Phys, BG-1164 Sofia, Bulgaria; [Balabanski, Dimiter L.; Gourev, V. N.] Bulgarian Antarct Inst, BG-1000 Sofia, Bulgaria</t>
  </si>
  <si>
    <t>Valahia University of Targoviste; Horia Hulubei National Institute of Physics &amp; Nuclear Engineering; Academy of Romanian Scientists (AOSR); University of Sofia</t>
  </si>
  <si>
    <t>Popescu, IV (corresponding author), Valahia Univ Targoviste, Sci Dept, Targoviste, Romania.</t>
  </si>
  <si>
    <t>Stihi, Claudia/B-6694-2011; Gheboianu, Anca Irina/F-9639-2011</t>
  </si>
  <si>
    <t>Stihi, Claudia/0000-0002-2058-1856; Gheboianu, Anca Irina/0000-0001-5380-4553</t>
  </si>
  <si>
    <t>EDITURA BIBLIOTHECA-BIBLIOTHECA PUBL HOUSE</t>
  </si>
  <si>
    <t>TARGOVISTE</t>
  </si>
  <si>
    <t>STRADA NICOLAE RADIAN KB2-3, TARGOVISTE, 130082, ROMANIA</t>
  </si>
  <si>
    <t>1844-9581</t>
  </si>
  <si>
    <t>J SCI ARTS</t>
  </si>
  <si>
    <t>J. Sci. Arts</t>
  </si>
  <si>
    <t>V6S4H</t>
  </si>
  <si>
    <t>WOS:000420572600018</t>
  </si>
  <si>
    <t>Hawes, TC; Worland, MR; Bale, JS; Convey, P</t>
  </si>
  <si>
    <t>Hawes, T. C.; Worland, M. R.; Bale, J. S.; Convey, P.</t>
  </si>
  <si>
    <t>Rafting in Antarctic Collembola</t>
  </si>
  <si>
    <t>JOURNAL OF ZOOLOGY</t>
  </si>
  <si>
    <t>rafting; passive dispersal; maritime Antarctic; Collembola; seawater; moulting; osmolality</t>
  </si>
  <si>
    <t>AERIAL DISPERSAL; COLD TOLERANCE; SPRINGTAILS; ARTHROPODS; INSECTS; ECUADOR; ISLANDS</t>
  </si>
  <si>
    <t>Darwin was an early exponent of the importance of 'occasional means of dispersal' in accounting for the present-day distribution of plants and animals. This study examined the implications of capture on the water surface of meltwater and seawater for the local and long-range dispersal of Antarctic springtails. Individuals of the maritime Antarctic collembolan Cryptopygus antarcticus, were floated on tap water and seawater at 0, 5 and 10 degrees C. LT(50)s on seawater were 34 (10 degrees C), 65 (5 degrees C) and 75 (0 degrees C) days. On tap water, LT(50)s were 69 (10 degrees C), 126 (5 degrees C) and 239 (0 degrees C) days. Less than 20% escaped from the water surface. A significantly greater proportion of springtails moulted on tap water and viable offspring were produced on both tap water and seawater. Comparison across treatments of survival of moulting and non-moulting individuals found significantly greater survival in moulting animals for three of the treatment combinations. It is suggested that moult exuviae facilitate survival on the water film through the simultaneous provision of a flotation aid and a source of nourishment - that is, an 'edible raft'. A separate experiment measuring changes in haemolymph osmolality over time on tap water and seawater at 2 and 5 degrees C found significant differences in all treatments. Causes of mortality are discussed in relation to osmoregulatory failure and starvation.</t>
  </si>
  <si>
    <t>[Hawes, T. C.; Bale, J. S.] Univ Birmingham, Sch Biosci, Birmingham B15 2TT, W Midlands, England; [Worland, M. R.; Convey, P.] British Antarctic Survey, NERC, Cambridge CB3 0ET, England</t>
  </si>
  <si>
    <t>University of Birmingham; UK Research &amp; Innovation (UKRI); Natural Environment Research Council (NERC); NERC British Antarctic Survey</t>
  </si>
  <si>
    <t>Hawes, TC (corresponding author), Univ Otago, Dept Zool, POB 56, Dunedin, New Zealand.</t>
  </si>
  <si>
    <t>tinstone12@hotmail.com</t>
  </si>
  <si>
    <t>Convey, Peter/AAV-5728-2020</t>
  </si>
  <si>
    <t>Convey, Peter/0000-0001-8497-9903</t>
  </si>
  <si>
    <t>Natural Environment Research Council [bas010015] Funding Source: researchfish; NERC [bas010015] Funding Source: UKRI</t>
  </si>
  <si>
    <t>0952-8369</t>
  </si>
  <si>
    <t>1469-7998</t>
  </si>
  <si>
    <t>J ZOOL</t>
  </si>
  <si>
    <t>J. Zool.</t>
  </si>
  <si>
    <t>10.1111/j.1469-7998.2007.00355.x</t>
  </si>
  <si>
    <t>242QG</t>
  </si>
  <si>
    <t>WOS:000251739900008</t>
  </si>
  <si>
    <t>Resgalla, C</t>
  </si>
  <si>
    <t>Resgalla, Charrid, Jr.</t>
  </si>
  <si>
    <t>Pteropoda, Cladocera, and Chaetognatha associations as hydrological indicators in the southern Brazilian Shelf</t>
  </si>
  <si>
    <t>LATIN AMERICAN JOURNAL OF AQUATIC RESEARCH</t>
  </si>
  <si>
    <t>zooplankton; species associations; hydrological indicators; coastal water; southern Brazil</t>
  </si>
  <si>
    <t>Associations of pteropod, cladoceran, and chaetognath species were analyzed for the southern coast of Brazil in order to present a biological diagnosis of the oceanographic conditions in winter and summer. The density data from the different species were analyzed using nodal and ordination cluster techniques, linking the species associations with salinity and temperature and, consequently, with the water masses occurring in each period. Sagitta tenuis and Pleopsis polyphemoides were found to characterize the coastal water and, when associated with Evadne nordmanni and Pleopsis schmackeri, differentiated between the thermal characteristics of winter and summer, respectively. The Sub-Antarctic Shelf Water was characterized by the association of Sagitta tasmanica and Limacina retroversa in winter. The Tropical Water of the Brazil current presented several different associations, with Penilia avirostris, Sagitta enflata, and Creseis virgula dominating the shelf Tropical Water and Sagitta serratodentata, Limacina trochiformis, and Evadne spinifera characterizing the oceanic Tropical Water. The Sub-tropical Water, typical of upwelling processes, was characterized by the association of the chaetognaths Sagitta decipiens and Krohnitta subtilis, both in winter and summer. The species associations defined in this study agree with others carried out in neighboring areas and in previous sampling periods, characterizing the region as the southern transition zone.</t>
  </si>
  <si>
    <t>Univ Vale Itajai UNIVALI, CTTMar, BR-88302202 Itajai, SC, Brazil</t>
  </si>
  <si>
    <t>Universidade do Vale do Itajai</t>
  </si>
  <si>
    <t>Resgalla, C (corresponding author), Univ Vale Itajai UNIVALI, CTTMar, POB 360, BR-88302202 Itajai, SC, Brazil.</t>
  </si>
  <si>
    <t>cresgalla@univali.br</t>
  </si>
  <si>
    <t>Resgalla, Charrid/0000-0002-4444-3968</t>
  </si>
  <si>
    <t>UNIV CATOLICA DE VALPARAISO</t>
  </si>
  <si>
    <t>VALPARAISO</t>
  </si>
  <si>
    <t>AV BRASIL 2950, PO BOX 4059, VALPARAISO, CHILE</t>
  </si>
  <si>
    <t>0718-560X</t>
  </si>
  <si>
    <t>0717-7178</t>
  </si>
  <si>
    <t>LAT AM J AQUAT RES</t>
  </si>
  <si>
    <t>Lat. Am. J. Aquat. Res.</t>
  </si>
  <si>
    <t>10.3856/vol36-issue2-fulltext-9</t>
  </si>
  <si>
    <t>493VJ</t>
  </si>
  <si>
    <t>gold, Green Published, Green Submitted</t>
  </si>
  <si>
    <t>WOS:000269766100009</t>
  </si>
  <si>
    <t>Ovstedal, DO; Gremmen, NJM</t>
  </si>
  <si>
    <t>Ovstedal, D. O.; Gremmen, N. J. M.</t>
  </si>
  <si>
    <t>Additions and corrections to the lichens of Heard Island</t>
  </si>
  <si>
    <t>LICHENOLOGIST</t>
  </si>
  <si>
    <t>Gyalideopsis; lichens; Mycobilimbia; new species; Psoroma; sub-Antarctic</t>
  </si>
  <si>
    <t>LAYER CHROMATOGRAPHIC METHOD; GENUS GYALIDEOPSIS; PRODUCTS; IDENTIFICATION; GOMPHILLACEAE; ASCOMYCOTA; LEPRARIA</t>
  </si>
  <si>
    <t>Nineteen lichens new to sub-Antarctic Heard Island are recorded. Three species are described as new: Gyalideopsis heardense Ovstedal, Mycobilimbia subbyssoidea Ovstedal and Psoroma absconditum Ovstedal. Altogether the total number of lichen species recorded on the island is now 90.</t>
  </si>
  <si>
    <t>[Ovstedal, D. O.] DNS, Bergen Museum, N-5007 Bergen, Norway; [Gremmen, N. J. M.] Univ Antwerp, Dept Biol, Unit Polar Ecol Limnol &amp; Paleobiol, B-2610 Antwerp, Belgium</t>
  </si>
  <si>
    <t>University of Antwerp</t>
  </si>
  <si>
    <t>Ovstedal, DO (corresponding author), DNS, Bergen Museum, Allegaten 41, N-5007 Bergen, Norway.</t>
  </si>
  <si>
    <t>dag.ovstedal@bm.uib.no</t>
  </si>
  <si>
    <t>0024-2829</t>
  </si>
  <si>
    <t>1096-1135</t>
  </si>
  <si>
    <t>Lichenologist</t>
  </si>
  <si>
    <t>10.1017/S002428290800741X</t>
  </si>
  <si>
    <t>Plant Sciences; Mycology</t>
  </si>
  <si>
    <t>329DD</t>
  </si>
  <si>
    <t>WOS:000257846200008</t>
  </si>
  <si>
    <t>Lindblom, L; Sochting, U</t>
  </si>
  <si>
    <t>Lindblom, Louise; Sochting, Ulrik</t>
  </si>
  <si>
    <t>Taxonomic revision of Xanthomendoza borealis and Xanthoria mawsonii (Lecanoromycetes, Ascomycota)</t>
  </si>
  <si>
    <t>haplotype networks; internal transcribed spacer; ITS; lichens; nrDNA; phylogeny; statistical parsimony; taxonomy; TCS; Teloschistaceae; Teloschistales</t>
  </si>
  <si>
    <t>POPULATION DIFFERENTIATION; CAVERNULARIA-HULTENII; SEQUENCE DATA; LICHEN; ANTARCTICA; CALOPLACA; PARIETINA; GENEALOGY</t>
  </si>
  <si>
    <t>The xanthorioid taxa Xanthomendoza borealis and Xanthoria mawsonii are revised using morphological, anatomical, secondary chemical, and molecular characters. We conclude that most specimens determined as X. mawsonii from the Antarctic are conspecific with specimens labelled X. borealis from the Northern Hemisphere. Some specimens named X. mawsonii from the Antarctic are wrongly determined specimens of Xanthoria candelaria (L.) Th. Fr, including the hologype of Xamhoria mawsonii C. W. Dodge. Accordingly, Xanthoria mawsonii C. W. Dodge is a synonym to Xanthoria candelaria (L.) Th. Fr. The only available correct name for the bipolar species, which comprises material previously determined as X. borealis and X. mawsonii, and is distinct from the more widespread taxon X. candelaria, is Xanthomendoza borealis (R. Sant. &amp; Poelt) Sochting, Karnefelt &amp; S. Kondratyuk.</t>
  </si>
  <si>
    <t>[Lindblom, Louise] Univ Bergen, Dept Biol, NO-5020 Bergen, Norway; [Sochting, Ulrik] Univ Copenhagen, Dept Biol, DK-2100 Copenhagen O, Denmark</t>
  </si>
  <si>
    <t>University of Bergen; University of Copenhagen</t>
  </si>
  <si>
    <t>Lindblom, L (corresponding author), Univ Bergen, Dept Biol, POB 7800, NO-5020 Bergen, Norway.</t>
  </si>
  <si>
    <t>louise.lindblom@bio.uib.no</t>
  </si>
  <si>
    <t>Vit, Petr/J-3278-2014; Koutecký, Petr/D-7284-2016; Lindblom, Louise/A-7271-2010; Sochting, Ulrik/M-2886-2014</t>
  </si>
  <si>
    <t>Lindblom, Louise/0000-0001-8240-3951; Sochting, Ulrik/0000-0001-7122-9425</t>
  </si>
  <si>
    <t>European Commission's [FP6]; Integrated Infrastructure Initiative programme SYNTHESYS [DK-TAF 3452]; Carlsberg Foundation [ANS-1206/10]</t>
  </si>
  <si>
    <t>European Commission's(European Union (EU)European Commission Joint Research Centre); Integrated Infrastructure Initiative programme SYNTHESYS; Carlsberg Foundation(Carlsberg Foundation)</t>
  </si>
  <si>
    <t>Work in Copenhagen was supported by a grant from the European Commission's (FP6) Integrated Infrastructure Initiative programme SYNTHESYS (DK-TAF 3452) and the Carlsberg Foundation (ANS-1206/10).</t>
  </si>
  <si>
    <t>10.1017/S0024282908007937</t>
  </si>
  <si>
    <t>355QD</t>
  </si>
  <si>
    <t>WOS:000259722500004</t>
  </si>
  <si>
    <t>Ebersbach, F; Trull, TW</t>
  </si>
  <si>
    <t>Ebersbach, F.; Trull, T. W.</t>
  </si>
  <si>
    <t>Sinking particle properties from polyacrylamide gels during the KErguelen Ocean and Plateau compared Study (KEOPS): Zooplankton control of carbon export in an area of persistent natural iron inputs in the Southern Ocean</t>
  </si>
  <si>
    <t>LIMNOLOGY AND OCEANOGRAPHY</t>
  </si>
  <si>
    <t>PARTICULATE ORGANIC-CARBON; PLANKTONIC COMMUNITY STRUCTURE; MARINE SNOW; FECAL MATERIAL; FLUX; PELLETS; BLOOM; BIOGEOCHEMISTRY; FERTILIZATION; ANTARCTICA</t>
  </si>
  <si>
    <t>The Kerguelen ocean and plateau compared study (KEOPS) examined the origin of elevated phytoplankton biomass in naturally iron-fertilized waters over the Kerguelen plateau during midsummer (January-February 2005). We report sinking particle characteristics determined from image analysis of thousands of individual particles collected in viscous polyacrylamide gels placed in free-drifting sediment traps at two sites: a high phytoplankton biomass site over the central plateau (A3) and a moderate biomass site at its periphery (C5). The particles were divided into three types (1) oval fecal pellets, (2) cylindrical fecal pellets, and (3) aggregates. The aggregates were most abundant and mainly consisted of agglomerations of the cylindrical fecal pellets. Conversion of the pellet and aggregate volumes to carbon contents suggests export fluxes of 50-60 mg C m(-2) d(-1) at 100-m depth, in reasonable agreement with independent estimates from carbon and Th-234 measurements. Our observation that the majority of the particle flux was processed through the heterotrophic foodweb contrasts with the results of artificial iron-fertilization experiments and with models for export from productive diatom-dominated waters that emphasize direct export of phytoplankton detritus. The KEOPS results may offer more appropriate scaling for the response of ecosystem structure and carbon export to persistent iron fertilization in the Southern Ocean.</t>
  </si>
  <si>
    <t>[Ebersbach, F.; Trull, T. W.] Univ Tasmania, IASOS, Antarctic Climate &amp; Ecosyst Cooperat Res Ctr, Hobart, Tas 7001, Australia; [Ebersbach, F.] Carl von Ossietzky Univ Oldenburg, D-2900 Oldenburg, Germany; [Trull, T. W.] CSIRO Marine &amp; Atmospher Res, Hobart, Tas 7001, Australia</t>
  </si>
  <si>
    <t>University of Tasmania; Antarctic Climate &amp; Ecosystems Cooperative Research Centre (ACE CRC); Carl von Ossietzky Universitat Oldenburg; Commonwealth Scientific &amp; Industrial Research Organisation (CSIRO)</t>
  </si>
  <si>
    <t>Ebersbach, F (corresponding author), Alfred Wegener Inst Polar &amp; Marine Res, Am Handelshafen 12, D-27570 Bremerhaven, Germany.</t>
  </si>
  <si>
    <t>0024-3590</t>
  </si>
  <si>
    <t>1939-5590</t>
  </si>
  <si>
    <t>LIMNOL OCEANOGR</t>
  </si>
  <si>
    <t>Limnol. Oceanogr.</t>
  </si>
  <si>
    <t>10.4319/lo.2008.53.1.0212</t>
  </si>
  <si>
    <t>Limnology; Oceanography</t>
  </si>
  <si>
    <t>Marine &amp; Freshwater Biology; Oceanography</t>
  </si>
  <si>
    <t>309ZK</t>
  </si>
  <si>
    <t>WOS:000256498500018</t>
  </si>
  <si>
    <t>Cisternas, A; Vera, E</t>
  </si>
  <si>
    <t>Cisternas, Armando; Vera, Emilio</t>
  </si>
  <si>
    <t>Historical and recent earthquakes in Magallanes</t>
  </si>
  <si>
    <t>MAGALLANIA</t>
  </si>
  <si>
    <t>Magallanes; tectonic plates; seismicity; volcanoes</t>
  </si>
  <si>
    <t>HOLOCENE TEPHROCHRONOLOGY</t>
  </si>
  <si>
    <t>Earthquakes in Magallanes, southern Chile, are associated to the relative motions (smaller than 2 cm./y) of three plates: South-American, Antarctic and Scotia. Thus, the seismicity is low as compared with northern Chile where the Nazca and South-American plates converge at a rate of about 10 cm./y. In Magallanes however, two main historical earthquakes (M-L = 7.5) occurred in 1879 and 1949. Recent seismicity, registered in 1997 and 1998, of magnitude smaller than 4.3 is located within the continental crust. Some very shallow earthquakes concentrate around two active volcanoes: Reclus and Burney. Short descriptions of the 2007 seismic cluster in Aysen and the 2008 eruption of the Chaiten volcano are also included.</t>
  </si>
  <si>
    <t>[Cisternas, Armando; Vera, Emilio] Univ Chile, Dpto Geofis, Santiago, Chile</t>
  </si>
  <si>
    <t>Universidad de Chile</t>
  </si>
  <si>
    <t>Cisternas, A (corresponding author), Univ Chile, Dpto Geofis, Blanco Encalada 2002, Santiago, Chile.</t>
  </si>
  <si>
    <t>acistern@fis.ucm.es; evera@dgf.uchile.cl</t>
  </si>
  <si>
    <t>Vera, Emilio/I-6309-2016</t>
  </si>
  <si>
    <t>Vera, Emilio/0000-0003-1088-0470</t>
  </si>
  <si>
    <t>UNIV MAGALLANES</t>
  </si>
  <si>
    <t>PUNTA ARENAS</t>
  </si>
  <si>
    <t>INST PAGAGONIA, AVDA BULNES 01890, CASILLA DE CORREOS 113-D, PUNTA ARENAS, MAGALLANES 00000, CHILE</t>
  </si>
  <si>
    <t>0718-2244</t>
  </si>
  <si>
    <t>Magallania</t>
  </si>
  <si>
    <t>Anthropology</t>
  </si>
  <si>
    <t>325UX</t>
  </si>
  <si>
    <t>WOS:000257614900004</t>
  </si>
  <si>
    <t>Soza-Amigo, S</t>
  </si>
  <si>
    <t>Soza-Amigo, Sergio</t>
  </si>
  <si>
    <t>Intersectorial relations in Magallanes in search of its economic structure</t>
  </si>
  <si>
    <t>structural analysis; key sector; linkage; sensible analysis; important coefficients; influence fields</t>
  </si>
  <si>
    <t>KEY SECTORS; EMPIRICAL IDENTIFICATION; LINKAGES; MATRIX</t>
  </si>
  <si>
    <t>It has always been a recurring theme to be able to establish what the key areas of an economy are, especially under an environment of input-output analysis. This would be caused by two reasons, the first would be related to the leadership that one particular activity can have on the other, what is meant to be motivated by the possible impulse that a particular sector can give to the economic development of a particular area, and on the other side, due to the fact that the concept of branch key has been subject to disputes for being very broad and vague, since it depends on the perspective that addresses the issue at hand. This study allows for a multiple-angle hierarchically of the importance of economic activities in the Region of Magallanes and the Chilean Antarctic. In order to do that, input-output tables developed by the INE-Chile and MIDEPLAN are used, and which data refer to 1996. Firstly, a linkage analysis is presented, and various techniques are used for identification [Rasmussen (1956), Chenery and Watanabe (1958), Hazari (1970), Cella (1985), Sonis et al (1995), Dietzenbacher and van der Linden (1997) and Soza (2007)]. The answers are finally combined to obtain some synthetic indicators, which facilitate their interpretation as well as avoiding a profusion of results. Secondly, the sensible of technical coefficients is determined using the Schintke and Staglin proposal (1988), which has identified the importance of a branch in terms of its elasticity, given the number of more sensible coefficients presented in columns as well as rows, and depending on the alteration of each of the separate factors and following Aroche's approach, in the sense of using Graph Theory (1996; 2002 and 2005), influence fields for have been identified each activity. After carrying out all of the above, and based on the main results achieved, the following step was the identification of those groups which generate evolvement in the region studied.</t>
  </si>
  <si>
    <t>Univ Magallanes, Fac Ciencias Econ &amp; Juridicas, Punta Arenas, Chile</t>
  </si>
  <si>
    <t>Soza-Amigo, S (corresponding author), Univ Magallanes, Fac Ciencias Econ &amp; Juridicas, Ave Bulnes 01855, Punta Arenas, Chile.</t>
  </si>
  <si>
    <t>sergio.soza@umag.cl</t>
  </si>
  <si>
    <t>Soza-Amigo, Sergio/AAU-8767-2021</t>
  </si>
  <si>
    <t>Soza-Amigo, Sergio/0000-0002-8256-6782</t>
  </si>
  <si>
    <t>10.4067/S0718-22442008000100007</t>
  </si>
  <si>
    <t>WOS:000257614900007</t>
  </si>
  <si>
    <t>Martinic, M</t>
  </si>
  <si>
    <t>Martinic, Mateo</t>
  </si>
  <si>
    <t>WHALING IN THE FALKLAND ISLANDS DEPENDENCIES 1904-1931. A HISTORY OF SHORE AND BAY-BASED WHALING IN THE ANTARCTIC.</t>
  </si>
  <si>
    <t>0718-0209</t>
  </si>
  <si>
    <t>389EM</t>
  </si>
  <si>
    <t>WOS:000262073700019</t>
  </si>
  <si>
    <t>Nicol, S; Worby, A; Leaper, R</t>
  </si>
  <si>
    <t>Nicol, Stephen; Worby, Anthony; Leaper, Rebecca</t>
  </si>
  <si>
    <t>Changes in the Antarctic sea ice ecosystem: potential effects on krill and baleen whales</t>
  </si>
  <si>
    <t>MARINE AND FRESHWATER RESEARCH</t>
  </si>
  <si>
    <t>climate change; exploitation</t>
  </si>
  <si>
    <t>SOUTHERN RIGHT WHALES; EUPHAUSIA-SUPERBA; EAST ANTARCTICA; EUBALAENA-AUSTRALIS; MARINE MAMMALS; MINKE WHALES; INTERANNUAL VARIABILITY; SEASONAL VARIABILITY; SURFACE TEMPERATURE; BELLINGSHAUSEN SEA</t>
  </si>
  <si>
    <t>The annual formation and loss of some 15 million km(2) of sea ice around the Antarctic significantly affects global ocean circulation, particularly through the formation of dense bottom water. As one of the most profound seasonal changes on Earth, the formation and decay of sea ice plays a major role in climate processes. It is also likely to be impacted by climate change, potentially changing the productivity of the Antarctic region. The sea ice zone supports much wildlife, particularly large vertebrates such as seals, seabirds and whales, some exploited to near extinction. Cetacean species in the Southern Ocean will be directly irnpacted by changes in sea ice patterns as well as indirectly by changes in their principal prey, Antarctic krill, affected by modifications to their own environment through climate change. Understanding how climate change will affect species at all trophic levels in the Southern Ocean requires new approaches and integrated research programs. This review focuses on the current state of knowledge of the sea ice zone and examines the potential for climatic and ecological change in the region. In the context of changes already documented for seals and seabirds, it discusses potential effects on the most conspicuous vertebrate of the region, baleen whales.</t>
  </si>
  <si>
    <t>[Nicol, Stephen] Australian Antarctic Div, Dept Environm Water Heritage &amp; Arts, So Ocean Ecosyst, Kingston, Tas 7050, Australia; [Nicol, Stephen; Worby, Anthony] Univ Tasmania, Australia &amp; Antarctic Climate &amp; Ecosyst Cooperat, Hobart, Tas 7001, Australia; [Worby, Anthony] Australian Antarctic Div, Dept Environm Water Heritage &amp; Arts, Ice Oceans Atmosphere &amp; Climate, Kingston, Tas 7050, Australia; [Leaper, Rebecca] Australian Antarctic Div, Dept Environm Water Heritage &amp; Arts, Australian Ctr Appl Marine Mammal Sci, Kingston, Tas 7050, Australia</t>
  </si>
  <si>
    <t>Australian Antarctic Division; University of Tasmania; Australian Antarctic Division; Australian Antarctic Division</t>
  </si>
  <si>
    <t>Nicol, S (corresponding author), Australian Antarctic Div, Dept Environm Water Heritage &amp; Arts, So Ocean Ecosyst, Channel Highway, Kingston, Tas 7050, Australia.</t>
  </si>
  <si>
    <t>1323-1650</t>
  </si>
  <si>
    <t>1448-6059</t>
  </si>
  <si>
    <t>MAR FRESHWATER RES</t>
  </si>
  <si>
    <t>Mar. Freshw. Res.</t>
  </si>
  <si>
    <t>10.1071/MF07161</t>
  </si>
  <si>
    <t>Fisheries; Limnology; Marine &amp; Freshwater Biology; Oceanography</t>
  </si>
  <si>
    <t>Fisheries; Marine &amp; Freshwater Biology; Oceanography</t>
  </si>
  <si>
    <t>321TH</t>
  </si>
  <si>
    <t>WOS:000257328900001</t>
  </si>
  <si>
    <t>Jordan, L; McMinn, A; Wotherspoon, S</t>
  </si>
  <si>
    <t>Jordan, Leonie; McMinn, Andrew; Wotherspoon, Simon</t>
  </si>
  <si>
    <t>Diurnal and monthly vertical profiles of benthic microalgae within intertidal sediments from two temperate localities</t>
  </si>
  <si>
    <t>chlorophyll; fluorometer; maximum quantum yield</t>
  </si>
  <si>
    <t>VARIABLE CHLOROPHYLL FLUORESCENCE; PHOTOSYNTHETIC CHARACTERISTICS; MIGRATION RHYTHMS; A FLUORESCENCE; MICROPHYTOBENTHOS; DIATOMS; LIGHT; EFFICIENCY; BIOMASS; BACILLARIOPHYCEAE</t>
  </si>
  <si>
    <t>Intertidal areas supporting microphytobenthos (MPB) are dynamic with changes in light intensity over short ( tidal) and long ( seasonal) time scales. The ability of MPB to migrate away from or towards the sediment surface to optimise sunlight is one reason they are so successful in intertidal areas. Over 12 months, we investigated the effects of time of day on the migration of benthic diatoms at two sites near Hobart, Tasmania, using a pulse amplitude modulation fluorometer to measure chlorophyll fluorescence. Chlorophyll a content and maximum quantum yield (F(V)/F(M)) were used to examine profiles of microalgal biomass within sediment cores. There was a seasonal pattern of chlorophyll a biofilm development, peaking in summer at the sandy site, Pipe Clay Lagoon, and in spring at the muddier Browns River. The muddier site had an overall greater MPB biomass than the sandy site. The F(V)/F(M) values demonstrated that cells were more 'stressed' at midday when sunlight was highest. However, significant seasonal variation was only observed at Browns River. Vertical migration through the sediment was not evident. It seems that the MPB at these two sites are using photoadaptive strategies along with small-scale vertical migration below the detection limit of the methods used in the present study.</t>
  </si>
  <si>
    <t>[Jordan, Leonie; McMinn, Andrew] Univ Tasmania, Inst Antarctic &amp; So Ocean Studies, Hobart, Tas 7001, Australia; [Wotherspoon, Simon] Univ Tasmania, Sch Math &amp; Phys, Hobart, Tas 7001, Australia</t>
  </si>
  <si>
    <t>University of Tasmania; University of Tasmania</t>
  </si>
  <si>
    <t>Jordan, L (corresponding author), Univ Tasmania, Inst Antarctic &amp; So Ocean Studies, Box 252-77, Hobart, Tas 7001, Australia.</t>
  </si>
  <si>
    <t>ljjordan@utas.edu.au</t>
  </si>
  <si>
    <t>McMinn, Andrew/A-9910-2008; Wotherspoon, Simon J/B-2390-2013</t>
  </si>
  <si>
    <t>Wotherspoon, Simon J/0000-0002-6947-4445</t>
  </si>
  <si>
    <t>COLLINGWOOD</t>
  </si>
  <si>
    <t>150 OXFORD ST, PO BOX 1139, COLLINGWOOD, VICTORIA 3066, AUSTRALIA</t>
  </si>
  <si>
    <t>10.1071/MF07105</t>
  </si>
  <si>
    <t>365AG</t>
  </si>
  <si>
    <t>WOS:000260377700001</t>
  </si>
  <si>
    <t>Mironov, AN</t>
  </si>
  <si>
    <t>Mironov, Alexander N.</t>
  </si>
  <si>
    <t>Pourtalesiid sea urchins (Echinodermata: Echinoidea) of the northern Mid-Atlantic Ridge</t>
  </si>
  <si>
    <t>MARINE BIOLOGY RESEARCH</t>
  </si>
  <si>
    <t>Echinoids; morphological adaptations; northern Atlantic; Pourtalesiidae</t>
  </si>
  <si>
    <t>DEEP-SEA; HOLASTEROID ECHINOIDS; ECHINOSIGRA; JEFFREYSI; SYSTEM; OCEAN; FAUNA</t>
  </si>
  <si>
    <t>Five species of deep-sea pourtalesiid echinoids were collected by the RV G.O. Sars MAR-ECO expedition to the northern part of the Mid-Atlantic Ridge: Solenocystis imitans new genus, new species, Echinosigra phiale (Thomson, 1872), Echinosigra (Echinogutta) fabrefacta Mironov, 1974, and two unidentified species of Pourtalesia. Three types of plastron plating are distinguished within the family Pourtalesiidae; in Solenocystis new genus the plating is similar to that in Spatagocystis, a genus known only from the deep-sea Antarctic. Each of three groups with distinctive plastron plating shows a continuous morphological gradation from a less elongated test without subanal rostrum to an extraordinarily elongated test with large rostrum and wide subanal fasciole; the ratio width/length of test varies from 0.86 to 0.12. Some morphological characters of the pourtalesiids are regarded as adaptations to burrowing and appear to be correlated with test elongation. The family is represented in the northern Atlantic only by 'advanced' genera (Echinosigra, Pourtalesia and Solenocystis) with very elongated tests.</t>
  </si>
  <si>
    <t>Russian Acad Sci, PP Shirshov Oceanol Inst, Moscow 117997, Russia</t>
  </si>
  <si>
    <t>Russian Academy of Sciences; Shirshov Institute of Oceanology</t>
  </si>
  <si>
    <t>Mironov, AN (corresponding author), Russian Acad Sci, PP Shirshov Oceanol Inst, Nakhimovsky Pr 36, Moscow 117997, Russia.</t>
  </si>
  <si>
    <t>miron@ocean.ru</t>
  </si>
  <si>
    <t>TAYLOR &amp; FRANCIS AS</t>
  </si>
  <si>
    <t>OSLO</t>
  </si>
  <si>
    <t>PO BOX 12 POSTHUSET, NO-0051 OSLO, NORWAY</t>
  </si>
  <si>
    <t>1745-1000</t>
  </si>
  <si>
    <t>MAR BIOL RES</t>
  </si>
  <si>
    <t>Mar. Biol. Res.</t>
  </si>
  <si>
    <t>10.1080/17451000701847863</t>
  </si>
  <si>
    <t>267KM</t>
  </si>
  <si>
    <t>WOS:000253507900002</t>
  </si>
  <si>
    <t>Zhang, JW; Zeng, RY</t>
  </si>
  <si>
    <t>Zhang, Jin-Wei; Zeng, Run-Ying</t>
  </si>
  <si>
    <t>Purification and characterization of a cold-adapted α-amylase produced by Nocardiopsis sp 7326 isolated from Prydz Bay, Antarctic</t>
  </si>
  <si>
    <t>MARINE BIOTECHNOLOGY</t>
  </si>
  <si>
    <t>cold-adapted alpha-amylase; Nocardiopsis; purification and characterization</t>
  </si>
  <si>
    <t>ALKALIPHILIC BACILLUS ISOLATE; SP-NOV.; PSYCHROPHILIC ENZYMES; ADAPTATION; STABILITY; BIOTECHNOLOGY; CLONING; GENE</t>
  </si>
  <si>
    <t>An actinomycete strain 7326 producing cold-adapted alpha-amylase was isolated from the deep sea sediment of Prydz Bay, Antarctic. It was identified as Nocardiopsis based on morphology, 16S rRNA gene sequence analysis, and physiological and biochemical characteristics. Sodium dodecyl sulfate-polyacrylamide gel electrophoresis and zymogram activity staining of purified amylase showed a single band equal to a molecular mass of about 55 kDa. The optimal activity temperature of Nocardiopsis sp. 7326 amylase was 35 degrees C, and the activity decreased dramatically at temperatures above 45 degrees C. The enzyme was stable between pH 5 and 10, and exhibited a maximal activity at pH 8.0. Ca2+, Mn2+, Mg2+, Cu2+, and Co2+ stimulated the activity of the enzyme significantly, and Rb2+, Hg2+, and EDTA inhibited the activity. The hydrolysates of soluble starch by the enzyme were mainly glucose, maltose, and maltotriose. This is the first report on the isolation and characterization of cold-adapted amylase from Nocardiopsis sp.</t>
  </si>
  <si>
    <t>[Zhang, Jin-Wei; Zeng, Run-Ying] State Oceanic Adm, Key Lab Marine Biogenet Resources, Xiamen, Peoples R China; [Zhang, Jin-Wei; Zeng, Run-Ying] State Oceanic Adm, Inst Oceanog 3, Xiamen, Peoples R China</t>
  </si>
  <si>
    <t>Third Institute of Oceanography, Ministry of Natural Resources</t>
  </si>
  <si>
    <t>Zeng, RY (corresponding author), State Oceanic Adm, Key Lab Marine Biogenet Resources, Xiamen, Peoples R China.</t>
  </si>
  <si>
    <t>Zhang, Jinwei/N-8584-2017; Zhang, Jinwei/Q-7959-2019</t>
  </si>
  <si>
    <t>Zhang, Jinwei/0000-0001-8683-509X</t>
  </si>
  <si>
    <t>1436-2228</t>
  </si>
  <si>
    <t>1436-2236</t>
  </si>
  <si>
    <t>MAR BIOTECHNOL</t>
  </si>
  <si>
    <t>Mar. Biotechnol.</t>
  </si>
  <si>
    <t>10.1007/s10126-007-9035-z</t>
  </si>
  <si>
    <t>Biotechnology &amp; Applied Microbiology; Marine &amp; Freshwater Biology</t>
  </si>
  <si>
    <t>259FP</t>
  </si>
  <si>
    <t>WOS:000252925500009</t>
  </si>
  <si>
    <t>Lannuzel, D; Schoemann, V; de Jong, J; Chou, L; Delille, B; Becquevort, S; Tison, JL</t>
  </si>
  <si>
    <t>Lannuzel, Delphine; Schoemann, Veronique; de Jong, Jeroen; Chou, Lei; Delille, Bruno; Becquevort, Sylvie; Tison, Jean-Louis</t>
  </si>
  <si>
    <t>Iron study during a time series in the western Weddell pack ice</t>
  </si>
  <si>
    <t>iron biogeochemistry; sea ice; Antarctic; time series</t>
  </si>
  <si>
    <t>SEA-ICE; SOUTHERN-OCEAN; ALGAL BLOOMS; FERTILIZATION; DISTRIBUTIONS; SIMULATIONS</t>
  </si>
  <si>
    <t>Samples of sea ice, snow, brine and underlying seawater were collected in the western Weddell pack ice at the ISPOL drifting station (Ice Station POLarstern, 68 degrees S/55 degrees W) in spring-summer period (November 2004-January 2005). Total-dissolvable, dissolved and particulate Fe concentrations in the sea ice environment were determined every 5 days during the time series, together with relevant physical, chemical and biological parameters. From 29 November to 30 December, a decrease in all forms of Fe measured was observed, likely to be the result of enhanced ice permeability as summer proceeds. At the beginning of the time series, melting of the upper ice layer took place together with brine drainage process. This would enable the seeding of Fe from the ice matrix towards the upper water column below. 70% of this Fe was supplied during the first 10 days of the survey, while the ice cover is still present. Flux estimates from the sampled area furthermore highlight the relevant role of the pack ice in the biogeochemical cycle of Fe in the western Weddell Sea. (C) 2007 Elsevier B.V. All rights reserved.</t>
  </si>
  <si>
    <t>[Lannuzel, Delphine] Univ Tasmania, Antarctic Climate &amp; Ecosyst CRC, Hobart, Tas 7001, Australia; [Schoemann, Veronique; Becquevort, Sylvie] Univ Libre Bruxelles, Ecol Syst Aquat, B-1050 Brussels, Belgium; [de Jong, Jeroen; Tison, Jean-Louis] Univ Libre Bruxelles, Unit Glaciol, B-1050 Brussels, Belgium; [Chou, Lei] Univ Libre Bruxelles, Lab Oceanog Chim &amp; Geochim Eaux, B-1050 Brussels, Belgium; [Delille, Bruno] Univ Liege, MARE, Unit Oceanol Chim, B-4000 Liege, Belgium</t>
  </si>
  <si>
    <t>University of Tasmania; Universite Libre de Bruxelles; Universite Libre de Bruxelles; Universite Libre de Bruxelles; University of Liege</t>
  </si>
  <si>
    <t>Lannuzel, D (corresponding author), Univ Tasmania, Antarctic Climate &amp; Ecosyst CRC, Private Bag 80, Hobart, Tas 7001, Australia.</t>
  </si>
  <si>
    <t>d0phine.lannuzel@utas.edu.au; vschoem@ulb.ac.be; jdejong@ulb.ae.be; lei.chou@ulb.ac.be; bruno.delille@ulg.ac.be; sbecq@ulb.ac.be; jtison@ulb.ac.be</t>
  </si>
  <si>
    <t>de Jong, Jeroen/F-3190-2011; Delille, Bruno/C-3486-2008; Tison, Jean-Louis/F-4065-2015; lannuzel, delphine/J-7937-2014</t>
  </si>
  <si>
    <t>Delille, Bruno/0000-0003-0502-8101; Tison, Jean-Louis/0000-0002-9758-3454; de Jong, Jeroen/0000-0002-3034-5929; lannuzel, delphine/0000-0001-6154-1837</t>
  </si>
  <si>
    <t>10.1016/j.marchem.2007.10.006</t>
  </si>
  <si>
    <t>258MA</t>
  </si>
  <si>
    <t>WOS:000252870800007</t>
  </si>
  <si>
    <t>Quillfeldt, P; McGill, RAR; Masello, JF; Weiss, F; Strange, IJ; Brickle, P; Furness, RW</t>
  </si>
  <si>
    <t>Quillfeldt, Petra; McGill, Rona A. R.; Masello, Juan F.; Weiss, Felix; Strange, Ian J.; Brickle, Paul; Furness, Robert W.</t>
  </si>
  <si>
    <t>Stable isotope analysis reveals sexual and environmental variability and individual consistency in foraging of thin-billed prions</t>
  </si>
  <si>
    <t>MARINE ECOLOGY PROGRESS SERIES</t>
  </si>
  <si>
    <t>Stable isotopes; Diet; Foraging area; Pachyptila belcheri; Southwest Atlantic</t>
  </si>
  <si>
    <t>SOUTHERN INDIAN-OCEAN; WILSONS STORM-PETREL; PACHYPTILA-BELCHERI; BREEDING SUCCESS; FOOD WEBS; SEABIRDS; FRACTIONATION; DELTA-N-15; FEATHERS; CARBON</t>
  </si>
  <si>
    <t>Based on growing knowledge on the distribution of stable isotopes in marine food webs, a powerful tool to study movements and trophic position of seabirds has been developed. Here we provide an updated review of isotope studies in the Southern Ocean and use delta C-13 and delta N-15 to evaluate diet and foraging areas of a small pelagic seabird, the thin-billed prion Pachyptila belcheri, breeding on the Falkland Islands. We found that close to egg laying, adults foraged in Falkland waters or northerly, but used more southerly foraging areas during courtship and chick rearing. Feathers grown during winter indicated that most individuals migrated south, although a small number of adults migrated north every year, consistent with regular winter observations of this species off Patagonia and southern Brazil. Thus, Antarctic waters are used regularly, but not exclusively, during the breeding and inter-breeding season. We document sex-specific segregation in foraging for the first time in this species. Males and females differed in delta C-13 and delta N-15 during courtship and chick feeding. On average, males foraged at a higher trophic level and further north than females. The isotopic signatures of blood sampled from individual chicks at different ages were correlated, indicating consistent behaviour of adult pairs over the chick-rearing period. Analysis of differences among years revealed more depleted isotope values during warmer years, suggesting more southerly foraging and a lower trophic level diet. This agrees with previous studies suggesting that warm sea surface waters depress local food availability, forcing prions to undertake longer foraging trips further south.</t>
  </si>
  <si>
    <t>[Quillfeldt, Petra; Masello, Juan F.; Weiss, Felix] Max Planck Inst Ornithol, D-78315 Radolfzell am Bodensee, Germany; [McGill, Rona A. R.] Scottish Univ Environm Res Ctr, Glasgow G75 0QF, Lanark, Scotland; [Strange, Ian J.] The Dolphins, New Isl Conservat Trust, Stanley, Falkland Isl, England; [Brickle, Paul] Falkland Isl Govt Fisheries Dept, Stanley, Falkland Isl, England; [Furness, Robert W.] Univ Glasgow, Inst Biomed &amp; Life Sci, Glasgow G12 8QQ, Lanark, Scotland</t>
  </si>
  <si>
    <t>Max Planck Society; Scottish Universities Research &amp; Reactor Center; University of Glasgow</t>
  </si>
  <si>
    <t>Quillfeldt, P (corresponding author), Max Planck Inst Ornithol, Schlossallee 2, D-78315 Radolfzell am Bodensee, Germany.</t>
  </si>
  <si>
    <t>petra.quillfeldt@gmx.de</t>
  </si>
  <si>
    <t>McGill, Rona/F-1793-2010; Weiss, Felix/B-6422-2011; McGill, Rona/JAC-6969-2023; Quillfeldt, Petra/A-9549-2009; Masello, Juan Francisco/C-7133-2009</t>
  </si>
  <si>
    <t>McGill, Rona/0000-0003-0400-7288; Quillfeldt, Petra/0000-0002-4450-8688; Brickle, Paul/0000-0002-9870-3518; Masello, Juan Francisco/0000-0002-6826-4016</t>
  </si>
  <si>
    <t>NERC; DFG, Germany [Qu 148/1-ff]; NERC, UK [EK 82-08/05]</t>
  </si>
  <si>
    <t>NERC(UK Research &amp; Innovation (UKRI)Natural Environment Research Council (NERC)); DFG, Germany(German Research Foundation (DFG)); NERC, UK(UK Research &amp; Innovation (UKRI)Natural Environment Research Council (NERC))</t>
  </si>
  <si>
    <t>We thank the New Island Conservation Trust for permission to work on the island and for providing accommodation and transport. NERC funded the isotope analysis, We also thank M. Strange and V. Roesch for contributions to this work; G. Segelbacher for doing molecular sex determination at the University of Freiburg, assisted by H. van Noordwijk; Y. Cherel and R. Phillips for providing data for the review; and 4 anonymous referees for helpful comments that improved the manuscript. This study was funded by grants provided by DFG, Germany (Qu 148/1-ff) and NERC, UK (Grant-in-Kind EK 82-08/05), and approved by the Falkland Islands Government (Environmental Planning Office).</t>
  </si>
  <si>
    <t>0171-8630</t>
  </si>
  <si>
    <t>MAR ECOL PROG SER</t>
  </si>
  <si>
    <t>Mar. Ecol.-Prog. Ser.</t>
  </si>
  <si>
    <t>10.3354/meps07751</t>
  </si>
  <si>
    <t>Ecology; Marine &amp; Freshwater Biology; Oceanography</t>
  </si>
  <si>
    <t>Environmental Sciences &amp; Ecology; Marine &amp; Freshwater Biology; Oceanography</t>
  </si>
  <si>
    <t>398KM</t>
  </si>
  <si>
    <t>WOS:000262731000011</t>
  </si>
  <si>
    <t>Weise, MJ; Harvey, JT</t>
  </si>
  <si>
    <t>Weise, Michael J.; Harvey, James T.</t>
  </si>
  <si>
    <t>Temporal variability in ocean climate and California sea lion diet and biomass consumption: implications for fisheries management</t>
  </si>
  <si>
    <t>Zalophus californianus; El Nino; La Nina; Prey consumption; Bioenergetics model; Trophic interactions; Regime shift</t>
  </si>
  <si>
    <t>SQUID LOLIGO-OPALESCENS; ANTARCTIC FUR SEALS; ZALOPHUS-CALIFORNIANUS; NORTHERN CALIFORNIA; PREY; ISLAND; PREDATORS; DYNAMICS; EVENTS; STATE</t>
  </si>
  <si>
    <t>Key to understanding ecosystem structure and function in the California Current System is quantitative modeling of trophic interactions of California sea lions Zalophus californianus, one of the largest and most abundant predators in this system, and how these interactions are affected by climate variability. Because sea lions consume almost exclusively commercially important prey species, we hypothesized that the potential for competition for specific prey resources would vary with environmental conditions. We evaluated seasonal and annual variation in sea lion diet in Monterey Bay during the strong 1997-98 El Nino and subsequent 1999 La Nina through the examination and identification of prey hard parts found in fecal samples. Annual consumption was modeled using population size, dietary data, sea lion energetics, and prey energy content. Sea lions were plastic specialists, feeding on seasonally abundant aggregating prey, exploiting several species at. a time. Short-term seasonal changes in diet corresponded with prey movement and life history patterns, whereas long-term annual changes corresponded with large-scale ocean climate shifts, namely the large 1997-98 El Nino and 1999 La Nina. Annual sea lion consumption of specific prey varied as a function of ocean climate, with an estimated 17 154 t prey consumed in 1998 and 20 229 t in 1999, Sea lion consumption was similar in magnitude to fisheries landings for several prey species and has the potential to adversely impact specific prey resources and directly compete with these fisheries; however, the degree of competition depends on spatial and temporal overlap of fisheries and sea lion foraging efforts.</t>
  </si>
  <si>
    <t>[Weise, Michael J.; Harvey, James T.] Moss Landing Marine Labs, Moss Landing, CA 95039 USA</t>
  </si>
  <si>
    <t>Moss Landing Marine Laboratories</t>
  </si>
  <si>
    <t>Weise, MJ (corresponding author), Off Naval Res, Mammals &amp; Biol Program, 875 N Randolph,Suite 1068, Arlington, VA 22203 USA.</t>
  </si>
  <si>
    <t>michael.j.weise@navy.mil</t>
  </si>
  <si>
    <t>Center for Integrative Marine Technologies; Moore and Packard Foundations; California Sea Grant Program; Office of Naval Research</t>
  </si>
  <si>
    <t>Center for Integrative Marine Technologies; Moore and Packard Foundations; California Sea Grant Program; Office of Naval Research(Office of Naval Research)</t>
  </si>
  <si>
    <t>This study could not have been completed without the countless hours of help from MLML Students and interns collecting and processing fecal samples. S. Davis was instrumental in aerial photography for aerial surveys. Special thanks to the Santa Cruz municipal wharf, United States Coast Guard, and California State Parks for allowing us access to pinniped haul-outs, This project was supported by funding from the Fishermen's Alliance of California, Monterey Bay Chapter, The David and Lucille Packard Foundation, and J. Scordino at the National Marine Fisheries Service through the West Coast Expanding Pinniped Program. Continued analysis and writing of this work was supported by the Center for Integrative Marine Technologies and the Tagging of Pacific Pelagics With Support from the Moore and Packard Foundations, California Sea Grant Program, and the Office of Naval Research. We are grateful for the constructive comments by G. Cailliet, R. DeLong, Y. Tremblay, and S. Simmons, This work was conducted under NMFS permit number 87-1593-05.</t>
  </si>
  <si>
    <t>1616-1599</t>
  </si>
  <si>
    <t>10.3354/meps07737</t>
  </si>
  <si>
    <t>WOS:000262731000013</t>
  </si>
  <si>
    <t>Ikeda, T</t>
  </si>
  <si>
    <t>Ikeda, Tsutomu</t>
  </si>
  <si>
    <t>Metabolism in mesopelagic and bathypelagic copepods: Reply to Childress et al. (2008)</t>
  </si>
  <si>
    <t>Copepods; Respiration; ETS; Mesopelagic; Bathypelagic; 'Visual interactions' hypothesis</t>
  </si>
  <si>
    <t>OXYGEN-CONSUMPTION RATES; VERTICAL-DISTRIBUTION; CALANOID COPEPODS; BODY-SIZE; ANTARCTIC ZOOPLANKTON; CHEMICAL-COMPOSITION; ENZYMATIC-ACTIVITIES; MARINE ZOOPLANKTON; PELAGIC COPEPODS; OYASHIO REGION</t>
  </si>
  <si>
    <t>In reply to the Comment by Childress et al. (2008; Mar Ecol Prog Ser 373:187-191), a rationale is given for the use of N-specific respiration data (instead of live-mass specific respiration data), life stage/sex structured data (instead of species structured data), capture depth (instead of minimum depth of occurrence, MDO) and respirometry design including enzyme assay of electron transfer system (ETS) (instead of citrate synthase [CS] assay), low oxygen seawater from the capture depth of the copepods (instead of oxygen enriched seawater) and density effect in the experiment of Ikeda et al. (2006; Mar Ecol Prog Ser 322:199-211). These results, combined with recent reports on chemical composition and RNA:DNA ratios, continue to support the conclusion of reduced respiration in deeper-living copepods. The gap between the species-based wet-mass specific respiration-MDO approach promoted by Childress et al. (2008) and the individual-based N-specific respiration-capture depth approach of Ikeda et al. (2006) is due to the different philosophical outlooks of the 2 research groups. One is based on the highly focused view of animal physiology, the other is based on the broad view of biological oceanography that incorporates all aspects of biology.</t>
  </si>
  <si>
    <t>[Ikeda, Tsutomu] Hokkaido Univ, Grad Sch Fisheries Sci, Plankton Lab, Hakodate, Hokkaido 0418611, Japan</t>
  </si>
  <si>
    <t>Hokkaido University</t>
  </si>
  <si>
    <t>Ikeda, T (corresponding author), 16-3-1001 Toyokawa Cho, Hakodate, Hokkaido 0400065, Japan.</t>
  </si>
  <si>
    <t>ikeda.tutomu@sepia.plala.or.jp</t>
  </si>
  <si>
    <t>10.3354/meps07856</t>
  </si>
  <si>
    <t>WOS:000262731000016</t>
  </si>
  <si>
    <t>Dupont, S; Havenhand, J; Thorndyke, W; Peck, L; Thorndyke, M</t>
  </si>
  <si>
    <t>Dupont, Sam; Havenhand, Jon; Thorndyke, William; Peck, Lloyd; Thorndyke, Michael</t>
  </si>
  <si>
    <t>Near-future level of CO2-driven ocean acidification radically affects larval survival and development in the brittlestar Ophiothrix fragilis</t>
  </si>
  <si>
    <t>Climate change; Ocean acidification; Echinoderms; Larval development; CO2; Brittlestar; Calcification; Skeletogenesis</t>
  </si>
  <si>
    <t>ENGLISH-CHANNEL; SEA; CO2; CARBON; ECHINODERMATA; OPHIUROIDEA; POPULATION; SEAWATER; CALCITE; BOTTOM</t>
  </si>
  <si>
    <t>The world's oceans are slowly becoming more acidic. In the last 150 yr, the pH of the oceans has dropped by similar to 0.1 units, which is equivalent to a 25 % increase in acidity. Modelling predicts the pH of the oceans to fall by 0.2 to 0.4 units by the year 2100. These changes will have significant effects on marine organisms, especially those with calcareous skeletons such as echinoderms. Little is known about the possible long-term impact of predicted pH changes on marine invertebrate larval development. Here we predict the consequences of increased CO2 (corresponding to pH drops of 0.2 and 0.4 units) on the larval development of the brittlestar Ophiothrix fragilis, which is a keystone species occurring in high densities and stable populations throughout the shelf seas of northwestern Europe (eastern Atlantic). Acidification by 0.2 units induced 100 % larval mortality within 8 d while control larvae showed 70 % survival over the same period. Exposure to low pH also resulted in a temporal decrease in larval size as well as abnormal development and skeletogenesis (abnormalities, asymmetry, altered skeletal proportions). If oceans continue to acidify as expected, ecosystems of the Atlantic dominated by this keystone species will be seriously threatened with major changes in many key benthic and pelagic ecosystems. Thus, it may be useful to monitor O. fragilis populations and initiate conservation if needed.</t>
  </si>
  <si>
    <t>[Dupont, Sam; Thorndyke, William; Thorndyke, Michael] Univ Gothenburg, Sven Loven Ctr Marine Sci, Dept Marine Ecol, Kristineberg, Sweden; [Havenhand, Jon] Univ Gothenburg, Sven Loven Ctr Marine Sci, Dept Marine Ecol, Tjarno, Sweden; [Peck, Lloyd] British Antarctic Survey, Cambridge CB3 0ET, England; [Thorndyke, Michael] Sven Loven Ctr Marine Sci, Royal Swedish Acad Sci, Kristineberg, Sweden</t>
  </si>
  <si>
    <t>University of Gothenburg; University of Gothenburg; UK Research &amp; Innovation (UKRI); Natural Environment Research Council (NERC); NERC British Antarctic Survey; Royal Swedish Academy of Sciences</t>
  </si>
  <si>
    <t>Dupont, S (corresponding author), Univ Gothenburg, Sven Loven Ctr Marine Sci, Dept Marine Ecol, Kristineberg, Sweden.</t>
  </si>
  <si>
    <t>sam.dupont@marecol.gu.se</t>
  </si>
  <si>
    <t>Dupont, Sam T/F-5527-2013; Havenhand, Jon/F-5435-2013</t>
  </si>
  <si>
    <t>Havenhand, Jonathan/0000-0001-6721-7763; Havenhand, Jon/0000-0003-0253-3428</t>
  </si>
  <si>
    <t>Formas; Network of Excellence; Marine Genomics Europe [GOCE-04-505403]; Royal Swedish Academy of Sciences; Goteborg University GRIP platform; K. &amp; A. Wallenbergs Stiftelsen; BAS Q4 BIOREACH/BIOFLAME core programmes; Linnestod och Berzelius Centre; NERC [bas010015] Funding Source: UKRI; Natural Environment Research Council [bas010015] Funding Source: researchfish</t>
  </si>
  <si>
    <t>Formas(Swedish Research Council Formas); Network of Excellence; Marine Genomics Europe; Royal Swedish Academy of Sciences; Goteborg University GRIP platform; K. &amp; A. Wallenbergs Stiftelsen(Knut &amp; Alice Wallenberg Foundation); BAS Q4 BIOREACH/BIOFLAME core programmes; Linnestod och Berzelius Centre; NERC(UK Research &amp; Innovation (UKRI)Natural Environment Research Council (NERC)); Natural Environment Research Council(UK Research &amp; Innovation (UKRI)Natural Environment Research Council (NERC))</t>
  </si>
  <si>
    <t>We thank Formas; the Network of Excellence, Marine Genomics Europe (GOCE-04-505403); the Royal Swedish Academy of Sciences; Goteborg University GRIP platform; K. &amp; A. Wallenbergs Stiftelsen, BAS Q4 BIOREACH/BIOFLAME core programmes and Linnestod och Berzelius Centre Grant to Goteborg University, 'ACME' (Adaptation to changing marine environments) for financial support. We also thank B. Petersson and K. Alexandersson, expert skippers of RV 'Arne Tiselius' and RV 'Oscar von Sydow'; and P. Andersson from SMHI for the data on PH in Gullmarsford.</t>
  </si>
  <si>
    <t>10.3354/meps07800</t>
  </si>
  <si>
    <t>WOS:000262731000026</t>
  </si>
  <si>
    <t>Drazen, JC; Phleger, CF; Guest, MA; Nichols, PD</t>
  </si>
  <si>
    <t>Drazen, Jeffrey C.; Phleger, Charles F.; Guest, Michaela A.; Nichols, Peter D.</t>
  </si>
  <si>
    <t>Lipid, sterols and fatty acids of abyssal polychaetes, crustaceans, and a cnidarian from the northeast Pacific Ocean: food web implications</t>
  </si>
  <si>
    <t>Polychaeta; Cnidaria; Crustacea; Deep sea; Trophic biology; Lipid composition; Sterols; Fatty acid biomarkers</t>
  </si>
  <si>
    <t>BIOCHEMICAL-COMPOSITION; EPIBENTHIC MEGAFAUNA; SEASONAL-CHANGES; SEA; TIME; HOLOTHURIANS; AMPHIPODS; ABUNDANCE; ATLANTIC; MARINE</t>
  </si>
  <si>
    <t>The lipid, sterol, and fatty acid compositions of the abyssal anemone Bathyphellia australis, the 3 polychaetes Laetmonice sp., Paradiopatra sp. and Travisia sp., 3 crustaceans (Munidopsis sp. and 2 lysianassid amphipods), and an unidentified caridean shrimp were determined from a site in the northeast Pacific Ocean. Lipid composition was dominated by phospholipids in most species. However, energy storage lipids (triacylglycerols and wax esters) contributed &gt; 50% to the total lipids in the lysianassid amphipods and the unidentified caridean shrimp, and lipids made up 1.9 and 45 % of amphipod and 14 % of shrimp dry mass, suggesting sporadic feeding and the need for energy storage. The dominant sterol was cholesterol. The presence of phytosterols in the anemone, the polychaetes and Munidopsis sp. suggested consumption of phytodetritus, but none of the specimens had levels suggesting that phytodetritus was their main food resource. The levels of essential photosynthetically derived polyunsaturated fatty acids (PUFA) corroborated the sterol results. The ratio of 18:1 omega 9/18:1 omega 7 further suggested carnivory as the predominant mode of foraging in the abyssal animals, although to varying degrees. Some distinct differences in the fatty acid (FA) composition of these animals allowed for their separation, confirming that FA profiles will be useful in future biomarker approaches to deep-sea food web studies.</t>
  </si>
  <si>
    <t>[Drazen, Jeffrey C.] Univ Hawaii, Dept Oceanog, Honolulu, HI 96822 USA; [Phleger, Charles F.; Nichols, Peter D.] CSIRO, Marine &amp; Atmospher Res, Food Futures Flagship, Hobart, Tas 7000, Australia; [Phleger, Charles F.; Nichols, Peter D.] Antarctic &amp; Climate Ecosyst CRC, Hobart, Tas 7001, Australia; [Guest, Michaela A.] Tasmanian Aquaculture &amp; Fisheries Inst, Nubeena Crescent, Tas 7053, Australia</t>
  </si>
  <si>
    <t>University of Hawaii System; Commonwealth Scientific &amp; Industrial Research Organisation (CSIRO); University of Tasmania; University of Tasmania</t>
  </si>
  <si>
    <t>Drazen, JC (corresponding author), Univ Hawaii, Dept Oceanog, 1000 Pope Rd, Honolulu, HI 96822 USA.</t>
  </si>
  <si>
    <t>jdrazem@hawaii.edu</t>
  </si>
  <si>
    <t>Nichols, Peter D/C-5128-2011; Drazen, Jeffrey/C-1197-2013</t>
  </si>
  <si>
    <t>Drazen, Jeffrey/0000-0001-9613-3833</t>
  </si>
  <si>
    <t>School of Ocean and Earth Science and Technology, University of Hawaii</t>
  </si>
  <si>
    <t>We thank K. L. Smith for the opportunity to participate on cruise Pulse 49 aboard the RV 'Atlantis' to Stn M and to the cruise participants for their assistance with sample collection and processing. D. Holdsworth managed the CSIRO GC-MS facility. This paper was improved by the comments of 3 anonymous reviewers. This research was supported by funding from the School of Ocean and Earth Science and Technology, University of Hawaii, to J.C.D.</t>
  </si>
  <si>
    <t>10.3354/meps07707</t>
  </si>
  <si>
    <t>394AR</t>
  </si>
  <si>
    <t>WOS:000262418100016</t>
  </si>
  <si>
    <t>Hirst, AG; Ward, P</t>
  </si>
  <si>
    <t>Hirst, A. G.; Ward, P.</t>
  </si>
  <si>
    <t>Spring mortality of the cyclopoid copepod Oithona similis in polar waters</t>
  </si>
  <si>
    <t>Oithona similis; Mortality; Stage structure; Egg production; Vertical life table; Scotia Sea</t>
  </si>
  <si>
    <t>MARINE PLANKTONIC COPEPODS; CALANUS-FINMARCHICUS; GLOBAL RATES; POPULATION-DYNAMICS; EGG-PRODUCTION; CHLOROPHYLL-A; NORTH-SEA; GROWTH; TEMPERATURE; LIMITATION</t>
  </si>
  <si>
    <t>The cyclopoid copepod Oithona similis is highly abundant and ubiquitous in the marine epipelagic environment, yet rates of mortality in this species have rarely been quantified; indeed we are lacking such measurements for Copepoda in general in cold waters. In the present study we examined O. similis stage structure, egg production and mortality rates across the Scotia Sea, Southern Ocean, sampling from the ice edge to the Polar Front in the austral spring of 2006, The population stage structure near the retreating ice edge was indicative of a recruitment pulse moving through the younger stages; therefore, the assumptions of the vertical life table (VLT) approach were not met and mortality was not estimated for those stations. At all other stations the assumptions of VLT were largely met, and mortality rates were determined as across-station averages, The highest rates of mortality occurred across the egg to NIT stages at around 0.04 d(-1), falling to &lt; 0.03 d(-1) in subsequent stages, and then increasing again to 0.11. d(-1) across copepod stage V to adult males. The ratio of adult males to females suggested that males have a mortality rate similar to 12 times greater than females (i.e. the adult male to female abundance ratio is 0.08). It is unlikely that these differences can be attributed simply to the males' shorter physiological longevity (longevity when free of predators); the primary cause is likely elevated predation mortality due to the risks associated with mate locating behaviour.</t>
  </si>
  <si>
    <t>[Hirst, A. G.; Ward, P.] British Antarctic Survey, NERC, Cambridge CB3 0ET, England</t>
  </si>
  <si>
    <t>Hirst, AG (corresponding author), Univ London, Sch Biol &amp; Chem Sci, Mile End Rd, London E1 4NS, England.</t>
  </si>
  <si>
    <t>a.g.hirst@qmul.ac.uk</t>
  </si>
  <si>
    <t>Hirst, Andrew G/A-6296-2013</t>
  </si>
  <si>
    <t>Hirst, Andrew/0000-0001-9132-1886</t>
  </si>
  <si>
    <t>NERC [bas010017] Funding Source: UKRI; Natural Environment Research Council [bas010017] Funding Source: researchfish</t>
  </si>
  <si>
    <t>10.3354/meps07694</t>
  </si>
  <si>
    <t>WOS:000262418100017</t>
  </si>
  <si>
    <t>Luque, SP; Arnould, JPY; Guinet, C</t>
  </si>
  <si>
    <t>Luque, Sebastian P.; Arnould, John P. Y.; Guinet, Christophe</t>
  </si>
  <si>
    <t>Temporal structure of diving behaviour in sympatric Antarctic and subantarctic fur seals</t>
  </si>
  <si>
    <t>Optimal foraging; Foraging niche segregation; Foraging behaviour; Diel trends; Diurnal activity; Myctophidae; Syntopy; Archival tags</t>
  </si>
  <si>
    <t>FORAGING BEHAVIOR; ARCTOCEPHALUS-TROPICALIS; SPLITTING BEHAVIOR; DIVE CYCLES; BODY-SIZE; PREY; COMPETITION; PREDATOR; HABITAT; GROWTH</t>
  </si>
  <si>
    <t>Lactation is considerably briefer (4 vs. 10 mo) and daily pup energy expenditure higher in Antarctic (AFS) than in subantarctic fur seals (SFS), even in sympatric populations of both species, where their foraging locations and diets are similar. Therefore, lactational demands may be higher for AFS females. We investigated whether sympatric lactating AFS and SFS females differ in their physiological or behavioural diving capacities, and in the temporal structure of foraging behaviour. Mean dive depth and duration were greater in SFS, but dives below 1 40 m were performed only by AFS. An index of activity level during the bottom phase of dives, when fur seals are thought to capture prey, was higher in SFS. Despite these differences, SFS females showed a steady increase in the minimum postdive interval following dives lasting longer than 250 s, compared to the steady increase following dives lasting longer than only 150 s in AFS. These results suggest that physiological constraints on diving behaviour are stronger on AFS females, and that the behavioural aerobic dive limit is greater for SFS. Assuming that dive bouts reflect foraging in prey patches, AFS females exploited more patches per unit time, and remained in them for briefer periods of time, compared to SFS females. Dive bout structure did not differ between overnight and long foraging trips. Our data suggest that AFS females spend greater foraging effort, but may gain access to prey patches of better quality, which may help them cope with higher lactational. demands.</t>
  </si>
  <si>
    <t>[Luque, Sebastian P.] Mem Univ Newfoundland, Dept Biol, St John, NF A1B 3X9, Canada; [Luque, Sebastian P.; Guinet, Christophe] CNRS, Ctr Etudes Biol Chize, F-79360 Villiers En Bois, France; [Arnould, John P. Y.] Deakin Univ, Sch Life &amp; Environm Sci, Burwood, Vic 3125, Australia</t>
  </si>
  <si>
    <t>Memorial University Newfoundland; Centre National de la Recherche Scientifique (CNRS); Deakin University</t>
  </si>
  <si>
    <t>Luque, SP (corresponding author), Mem Univ Newfoundland, Dept Biol, St John, NF A1B 3X9, Canada.</t>
  </si>
  <si>
    <t>spluque@gmail.com</t>
  </si>
  <si>
    <t>Guinet, Christophe/AAR-8457-2020</t>
  </si>
  <si>
    <t>Institut Polaire Franqais Paul Emile Victor (IPEV),; Draney-Anderson Foundation; Memorial University</t>
  </si>
  <si>
    <t>We thank the Institut Polaire Franqais Paul Emile Victor (IPEV), the Draney-Anderson Foundation, and a graduate student fellowship (to S.P.L.) from the Biology Department of Memorial University for financial and logistic support. We also thank the members of the 39th and 40th missions to Ile dela Possession who participated in many aspects of field work, and several anonymous reviewers for valuable criticisms of the manuscript. Research was conducted in accordance with the guidelines set by IPEV for the Terres Australes et Antarctiques Francaises (French Antarctic and Austral Territories).</t>
  </si>
  <si>
    <t>10.3354/meps07689</t>
  </si>
  <si>
    <t>WOS:000262418100026</t>
  </si>
  <si>
    <t>Suhr, SB; Alexander, SP; Gooday, AJ; Pond, DW; Bowser, SS</t>
  </si>
  <si>
    <t>Suhr, Stephanie B.; Alexander, Stephen P.; Gooday, Andrew J.; Pond, David W.; Bowser, Samuel S.</t>
  </si>
  <si>
    <t>Trophic modes of large Antarctic Foraminifera: roles of carnivory, omnivory, and detritivory</t>
  </si>
  <si>
    <t>Foraminifera; Trophic ecology; Benthic; Food web; Carnivory; Antarctic; Explorers Cove; Community structure</t>
  </si>
  <si>
    <t>ICE MICROBIAL COMMUNITIES; POLYUNSATURATED FATTY-ACIDS; MCMURDO-SOUND; SEA-ICE; BENTHIC FORAMINIFERA; ASTRAMMINA-RARA; ORGANIC-CARBON; AGGLUTINATED FORAMINIFER; EXTRACELLULAR-MATRIX; BACTERIAL PRODUCTION</t>
  </si>
  <si>
    <t>Astrammina rara, Crithionina delacai, and Notodendrodes hyalinosphaira are 3 of the largest and most abundant members of the foraminiferal assemblage at a shallow-water (28 to 32 m) site in Explorers Cove, Antarctica. This study summarizes observations from 2 decades of research, during which we employed laboratory-based feeding experiments and fatty acid biomarker analysis to characterize trophic dynamics and ecological roles of the 3 species, In feeding experiments, A. rara consumed a variety of co-occurring metazoans (several Crustacea, Mollusca, Echinodermata, and a Nephtys species). C. delacai, N. hyalinosphaira, and a number of other foraminiferal species from Explorers Cove successfully trapped Artemia sp. nauplius prey in a setup designed to examine the efficiency of prey capture. Fatty acid analyses on samples from early (November 7, 2001) and late (January 31, 2002) austral summer revealed that the 3 species contained substantial amounts (33 to 45.5%) of polyunsaturated fatty acids (PUFAs), which are produced by microalgae, indicating the downwards transfer of carbon from sea-ice associated primary production. In the case of A. rara, this may be due to the ingestion of herbivorous metazoa, rather than direct uptake of microalgal material. A. rara contained significantly (p &lt; 0.05) higher amounts of the zooplankton biomarkers 20:1(n-9) and 22:1(n-11), and C. delacai contained more PUFAs early, compared to late, in the season. Two morphotypes of N. hyalinosphaira had different fatty acid Profiles, indicating distinct trophotypes. Our results illustrate specific adaptations to different trophic resources in these protists, and they demonstrate the potential impact that large carnivorous species of Foraminifera may have on the structure of benthic communities where they are abundant.</t>
  </si>
  <si>
    <t>[Suhr, Stephanie B.; Alexander, Stephen P.] Raytheon Polar Serv Co, Centennial, CO 80112 USA; [Suhr, Stephanie B.; Gooday, Andrew J.; Pond, David W.] Univ Southampton, Natl Oceanog Ctr, Southampton SO14 3ZH, Hants, England; [Alexander, Stephen P.; Bowser, Samuel S.] New York State Dept Hlth, Wadsworth Ctr, Albany, NY 12201 USA; [Pond, David W.] British Antarctic Survey, Div Biol Sci, Cambridge CB3 0ET, England; [Bowser, Samuel S.] SUNY Albany, Sch Publ Hlth, Dept Biomed Sci, Albany, NY 12201 USA</t>
  </si>
  <si>
    <t>NERC National Oceanography Centre; University of Southampton; State University of New York (SUNY) System; Wadsworth Center; UK Research &amp; Innovation (UKRI); Natural Environment Research Council (NERC); NERC British Antarctic Survey; State University of New York (SUNY) System; State University of New York (SUNY) Albany</t>
  </si>
  <si>
    <t>Bowser, SS (corresponding author), Interres, Nordbunte 23, D-21385 Oldendori Luhe, Germany.</t>
  </si>
  <si>
    <t>bowser@wadsworth.org</t>
  </si>
  <si>
    <t>Gooday, Andrew/ABB-4267-2020; Gooday, Andrew/AAH-8991-2021</t>
  </si>
  <si>
    <t>Gooday, Andrew/0000-0002-5661-7371; Suhr, Steffi/0000-0001-7588-5673</t>
  </si>
  <si>
    <t>National Science Foundation [ANT-0440769]; National Oceanography Centre, Southampton, UK; Natural Environment Research Council [soc010009, bas010017] Funding Source: researchfish; NERC [soc010009, bas010017] Funding Source: UKRI</t>
  </si>
  <si>
    <t>National Science Foundation(National Science Foundation (NSF)); National Oceanography Centre, Southampton, UK; Natural Environment Research Council(UK Research &amp; Innovation (UKRI)Natural Environment Research Council (NERC)); NERC(UK Research &amp; Innovation (UKRI)Natural Environment Research Council (NERC))</t>
  </si>
  <si>
    <t>We thank J. Bernhard, T. DeLaca, S. Goldstein, and W. Stockton for helpful discussions, I. Bosch for echinoid larvae, and J. Pawlowski for help with photo-microscopy. We also thank C. Beynon, D. Coons, P. Forte, G. Gwarschaladse, S. Harper, J. Harris, L. Haywood, D. Huang, H. Kaiser, L. Parfrey, N. Pollock, and R. Sanders for diving and/or field assistance. Three anonymous referees and the responsible editor provided very helpful comments on the manuscript. We are indebted to the National Science Foundation, Raytheon Polar Services, and PHI for field logistics. This work was supported by NSF grant ANT-0440769 awarded to S.S.B. S.B.S. was supported through a PhD studentship from the National Oceanography Centre, Southampton, UK.</t>
  </si>
  <si>
    <t>10.3354/meps07693</t>
  </si>
  <si>
    <t>385FA</t>
  </si>
  <si>
    <t>WOS:000261797800014</t>
  </si>
  <si>
    <t>McClintock, JB; Angus, RA; Ho, CP; Amsler, CD; Baker, BJ</t>
  </si>
  <si>
    <t>McClintock, James B.; Angus, Robert A.; Ho, Christina P.; Amsler, Charles D.; Baker, Bill J.</t>
  </si>
  <si>
    <t>Intraspecific agonistic arm-fencing behavior in the Antarctic keystone sea star Odontaster validus influences prey acquisition</t>
  </si>
  <si>
    <t>Keystone species; Agonism; Arm-fencing behavior; Predation; Sea star; Odontaster validus</t>
  </si>
  <si>
    <t>COMMUNITY; ASTEROIDS</t>
  </si>
  <si>
    <t>The importance of intraspecific social behaviors in mediating foraging behaviors of marine invertebrate keystone predators has received little attention. In laboratory investigations employing time-lapse video, we observed that the keystone Antarctic sea star Odontaster validus displays frequent agonistic arm-fencing bouts with conspecifics when near prey (injured sea urchin). Arm-fencing bouts consisted of 2 individuals elevating the distal portion of an arm until positioned arm tip to arm tip, This was followed by intermittent or continuous arm to arm contact, carried out in attempts to place an arm onto the aboral (upper) surface of the opponent. Fifteen (79%) of the 19 bouts observed occurred near prey (mean +/- 1 SE, 13 +/- 1.6 cm distance to prey; n = 13). These bouts lasted 21.05 +/- 2.53 min (n = 15). In all 5 bouts that involved a large individual (radius, R: distance from the tip of an arm to the center of the oral disk; 45 to 53 mm) competing with either a medium (R = 35 to 42 min) or small (R = 25 to 32 mm) individual, the large sea star prevailed. The only exception occurred in 2 instances where a medium-sized sea star had settled onto prey and was subsequently challenged by a larger individual. Here, the outcomes were reversed in favor of the medium-sized individuals. These complex social behaviors mediating intraspecific competition for the acquisition of prey by a keystone predator are likely to have significant ramifications in terms of individual fitness, population structure, and community composition.</t>
  </si>
  <si>
    <t>[McClintock, James B.; Angus, Robert A.; Ho, Christina P.; Amsler, Charles D.] Univ Alabama, Dept Biol, Birmingham, AL 35294 USA; [Baker, Bill J.] Univ S Florida, Dept Chem, Tampa, FL 33620 USA</t>
  </si>
  <si>
    <t>University of Alabama System; University of Alabama Birmingham; State University System of Florida; University of South Florida</t>
  </si>
  <si>
    <t>McClintock, JB (corresponding author), Univ Alabama, Dept Biol, Birmingham, AL 35294 USA.</t>
  </si>
  <si>
    <t>mcclinto@uab.edu</t>
  </si>
  <si>
    <t>Baker, Bill/N-4312-2019</t>
  </si>
  <si>
    <t>Amsler, Charles/0000-0002-4843-3759</t>
  </si>
  <si>
    <t>National Science Foundation [OPP -0441769, OPP - 0442857]; University of Alabama at Birmingham</t>
  </si>
  <si>
    <t>National Science Foundation(National Science Foundation (NSF)); University of Alabama at Birmingham</t>
  </si>
  <si>
    <t>We thank M. Amster, P. Bucolo, and C. Aumack for assistance with field collections of sea stars and sea urchins. C. Smith and C. Hammock kindly provided assistance with the set up of time-lapse video equipment and analysis of the digital videos. We also acknowledge the generous logistical support of those individuals employed by Raytheon Polar Services Company. This research was facilitated by National Science Foundation awards to C.D.A. and J.B.M. (OPP -0441769) and to B.J.B. (OPP - 0442857). It was also supported by an Endowed Professorship in Polar and Marine Biology to J.B.M. through the University of Alabama at Birmingham.</t>
  </si>
  <si>
    <t>10.3354/meps07710</t>
  </si>
  <si>
    <t>WOS:000261797800028</t>
  </si>
  <si>
    <t>Thums, M; Bradshaw, CJA; Hindell, MA</t>
  </si>
  <si>
    <t>Thums, Michele; Bradshaw, Corey J. A.; Hindell, Mark A.</t>
  </si>
  <si>
    <t>Tracking changes in relative body composition of southern elephant seals using swim speed data</t>
  </si>
  <si>
    <t>Foraging success; Buoyancy; Lipid content; Mirounga leonina; Southern Ocean; Swim speed; Antarctica</t>
  </si>
  <si>
    <t>MIROUNGA-LEONINA; DIVING BEHAVIOR; STOMACH TEMPERATURE; FORAGING SUCCESS; PHOCA-VITULINA; OCEANOGRAPHIC CONDITIONS; PREY CONSUMPTION; AUSTRAL SUMMER; HARBOR SEALS; BUOYANCY</t>
  </si>
  <si>
    <t>Changes in buoyancy during an animal's time at sea are a powerful tool for inferring spatial and temporal foraging success. Buoyancy can be difficult to measure, but in some species of seal, drift components of dives can be used. We used swim speed data from adult female southern elephant seals Mirounga leonina using geo-locating velocity-time-depth recorders during 2004 post-lactation (PL; n = 7) and 2002, 2004 and 2005 post-moult (PM; n = 18) foraging trips to detect periods of passive drifting during diving. In addition to the characteristic drift dives of elephant seals, drifting also occurred during putative foraging dives. We used generalised linear models (GLMs) to examine the relationship between body lipid content measured on land and several diving variables collected within a week of these measurements being taken, The strongest support (deviance explained = 90%) was for the model including drift rate (77%), seal length (12%) and descent rate (2%). Estimates of body lipid, based on the GLM, were predicted for each day of the foraging trips. Areas where seals increased their relative lipid content from one day to the next corresponded well with areas in which the seals spent the greatest amount of time. Inferring foraging success from positive changes in drift rate has so far been limited to elephant seals which perform characteristic drift dives, but the addition of swim speed data to detect short periods of stationary behaviour allows for this method to be expanded to a greater range of ocean predators.</t>
  </si>
  <si>
    <t>[Thums, Michele; Hindell, Mark A.] Univ Tasmania, Sch Zool, Antarctic Wildlife Res Unit, Hobart, Tas 7001, Australia; [Bradshaw, Corey J. A.] Univ Adelaide, Sch Earth &amp; Environm Sci, Res Inst Climate Change &amp; Sustainabil, Adelaide, SA 5005, Australia; [Bradshaw, Corey J. A.] S Australian Res &amp; Dev Inst, Henley Beach, SA 5022, Australia</t>
  </si>
  <si>
    <t>University of Tasmania; University of Adelaide</t>
  </si>
  <si>
    <t>Thums, M (corresponding author), Univ Tasmania, Sch Zool, Antarctic Wildlife Res Unit, Private Bag 05, Hobart, Tas 7001, Australia.</t>
  </si>
  <si>
    <t>mthums@utas.edu.au</t>
  </si>
  <si>
    <t>Hindell, Mark A/C-8368-2013; Hindell, Mark A/K-1131-2013; Bradshaw, Corey J. A./A-1311-2008; Thums, Michele/A-3850-2013</t>
  </si>
  <si>
    <t>Bradshaw, Corey J. A./0000-0002-5328-7741; Thums, Michele/0000-0002-8669-8440; Hindell, Mark/0000-0002-7823-7185</t>
  </si>
  <si>
    <t>Australian Research Council; Natural Sciences and Engineering Research Council of Canada; Sea World Research and Rescue Foundation Inc.; Australian Antarctic Science; Australian Postgraduate Award</t>
  </si>
  <si>
    <t>Australian Research Council(Australian Research Council); Natural Sciences and Engineering Research Council of Canada(Natural Sciences and Engineering Research Council of Canada (NSERC)CGIAR); Sea World Research and Rescue Foundation Inc.; Australian Antarctic Science; Australian Postgraduate Award(Australian Government)</t>
  </si>
  <si>
    <t>This research was funded by Australian Research Council, Natural Sciences and Engineering Research Council of Canada, Sea World Research and Rescue Foundation Inc. and Australian Antarctic Science grants, with additional support from P. Rowsthorn and the University of Tasmania. M. T. was supported by an Australian Postgraduate Award. We thank H. Achurch, C. Brown, D. Hamer, C. Holland, A. Irvine, R. Trebilco, S, Wall and S. Weeks for assistance with the field work and M. Biuw for comments on analyses.</t>
  </si>
  <si>
    <t>10.3354/meps07613</t>
  </si>
  <si>
    <t>377CP</t>
  </si>
  <si>
    <t>Green Accepted, Green Submitted, Bronze</t>
  </si>
  <si>
    <t>WOS:000261229600020</t>
  </si>
  <si>
    <t>Rayner, MJ; Hauber, ME; Clout, MN; Seldon, DS; Van Dijken, S; Bury, S; Phillips, RA</t>
  </si>
  <si>
    <t>Rayner, M. J.; Hauber, M. E.; Clout, M. N.; Seldon, D. S.; Van Dijken, S.; Bury, S.; Phillips, R. A.</t>
  </si>
  <si>
    <t>Foraging ecology of the Cook's petrel Pterodroma cookii during the austral breeding season: a comparison of its two populations</t>
  </si>
  <si>
    <t>Foraging distribution; Geolocation loggers; Stable isotopes; Subtropical convergence; Gadfly petrel</t>
  </si>
  <si>
    <t>STABLE-ISOTOPES; SOUTH-GEORGIA; WANDERING ALBATROSSES; GEOGRAPHIC STRUCTURE; BARRIER-ISLAND; DIVING DEPTHS; NEW-ZEALAND; STRATEGIES; SEABIRDS; COMPETITION</t>
  </si>
  <si>
    <t>This study examined divergence in the foraging distribution, at-sea behaviour and provisioning strategies of a small procellarid, the Cook's petrel Pterodroma cookii, during chick-rearing at 2 islands off New Zealand, separated latitudinally by similar to 1000 km. There was little overlap in foraging distribution between adults from Little Barrier Island (LBI), which ranged to the west into the Northern Tasman Sea and east into the Pacific Ocean, and conspecifics from Codfish Island (CDF), which foraged west of the South Island in the south Tasman Sea in association with the subtropical convergence zone. Although birds from CDF ranged further than those from LBI, there was no difference in mean foraging trip duration. Cook's petrels from CDF foraged over deeper, cooler water, with higher primary productivity, than conspecifics from LBI. At-sea behaviour also differed: adults from LBI spent less time in flight, and showed less variation in total flight time per day. Overall, Cook's petrels spend much more time in flight than albatrosses, and approximately the same amounts of time on the water during the night as during the day, suggesting a high portion of nocturnal foraging. Dive depths did not differ between colonies but were greater than expected for a gadfly petrel. Stable isotope signatures of blood indicated population-specific diets, and suggested that birds from LBI primarily consume cephalopods and fish, whereas those from CDF eat more crustaceans. Chicks at CDF received more food. These results suggest a broad divergence in foraging strategies between geographically well-separated colonies in response to regional differences in oceanography.</t>
  </si>
  <si>
    <t>[Rayner, M. J.; Hauber, M. E.; Clout, M. N.; Seldon, D. S.; Van Dijken, S.] Univ Auckland, Sch Biol Sci, Auckland 1142, New Zealand; [Bury, S.] Natl Inst Water &amp; Atmospher Res, Wellington 6011, New Zealand; [Phillips, R. A.] British Antarctic Survey, NERC, Cambridge CB3 0ET, England</t>
  </si>
  <si>
    <t>University of Auckland; National Institute of Water &amp; Atmospheric Research (NIWA) - New Zealand; UK Research &amp; Innovation (UKRI); Natural Environment Research Council (NERC); NERC British Antarctic Survey</t>
  </si>
  <si>
    <t>Rayner, MJ (corresponding author), Univ Auckland, Sch Biol Sci, Private Bag 92019, Auckland 1142, New Zealand.</t>
  </si>
  <si>
    <t>m.rayner@auckland.ac.nz</t>
  </si>
  <si>
    <t>Bury, Sarah/JLN-0810-2023</t>
  </si>
  <si>
    <t>Rayner, Matt/0000-0002-1168-6699; Seldon, David/0000-0002-6525-6459; Clout, Mick/0000-0003-2864-4628</t>
  </si>
  <si>
    <t>Little Barrier Island Supporters Trust; ASB Bank Community Trust; University of Auckland; Faculty of Science Professional Development Fund; School of Biological Sciences; New Zealand Tertiary Education Commission Top Achiever Doctoral Scholarship; NERC [bas010017] Funding Source: UKRI; Natural Environment Research Council [bas010017] Funding Source: researchfish</t>
  </si>
  <si>
    <t>Little Barrier Island Supporters Trust; ASB Bank Community Trust; University of Auckland; Faculty of Science Professional Development Fund; School of Biological Sciences(UK Research &amp; Innovation (UKRI)Biotechnology and Biological Sciences Research Council (BBSRC)); New Zealand Tertiary Education Commission Top Achiever Doctoral Scholarship; NERC(UK Research &amp; Innovation (UKRI)Natural Environment Research Council (NERC)); Natural Environment Research Council(UK Research &amp; Innovation (UKRI)Natural Environment Research Council (NERC))</t>
  </si>
  <si>
    <t>We thank the New Zealand Department of Conservation staff from the Auckland (S. Cameron, S. McInnis, R. Renwick and L. Whitwell) and Southern Islands (T. Lawrence, P. McClelland, D. Vercoe and D. Veint) Conservancies for facilitating access to conduct this research, and for assistance and support. We are indebted to M. Le Corre, S. Bartle, B. Dunphy, M. Imber and 2 anonymous referees for improving the manuscript, and acknowledge essential research funding by the Little Barrier Island Supporters Trust, through an ASB Bank Community Trust grant, and by the University of Auckland, through the Faculty of Science Professional Development Fund and School of Biological Sciences performance-based research fund. M.J.R. was supported by a New Zealand Tertiary Education Commission Top Achiever Doctoral Scholarship. This research was conducted with ethics approval from the University of Auckland Animal Ethics Committee and research permission from the New Zealand Department of Conservation.</t>
  </si>
  <si>
    <t>10.3354/meps07660</t>
  </si>
  <si>
    <t>WOS:000261229600022</t>
  </si>
  <si>
    <t>Trathan, PN; Bishop, C; Maclean, G; Brown, P; Fleming, A; Collins, MA</t>
  </si>
  <si>
    <t>Trathan, P. N.; Bishop, C.; Maclean, G.; Brown, P.; Fleming, A.; Collins, M. A.</t>
  </si>
  <si>
    <t>Linear tracks and restricted temperature ranges characterise penguin foraging pathways</t>
  </si>
  <si>
    <t>Foraging; GPS telemetry; Archival GPS; Environmental cues; King penguin; Diving predators; Antarctic Polar Front; South Georgia</t>
  </si>
  <si>
    <t>POLAR FRONTAL ZONE; KING PENGUINS; GPS TRACKING; HABITAT; SOUTH; EXPLOITATION; STRATEGY; PREDATOR; SUMMER; SEARCH</t>
  </si>
  <si>
    <t>Marine predators are thought to follow sophisticated scale-dependent search strategies when seeking patchy and unpredictable prey. However, fine-scale information about these strategies has hitherto been difficult to obtain for diving predators that often remain at the sea surface for only limited periods of time. Using ARGOS telemetry and novel, low-powered, archival GPS, we followed the fine-scale at-sea behaviour of king penguins breeding on South Georgia. Results revealed that foraging pathways were generally linear, except at the finest scale, where movements probably reflected either fine-scale searching behaviour, or fine-scale random movements associated with having found prey. King penguins focused 45% of their foraging effort in waters with a specific surface temperature (5.0 to 5.5 degrees C) - an environmental cue potentially important in helping them locate prey, thereby reducing their need to expend energy in area-restricted search patterns. Within these waters, penguins slowed down and increased their dive effort and degree of meandering. First Passage Time analysis revealed that penguins focused much of their effort at local scales, generally in areas with a radius of 2 km. In these areas, penguins dived marginally deeper and targeted waters that, were significantly warmer at the bottom of their dives. Such information about fine-scale foraging behaviour will help increase our understanding of the environmental correlates that characterise areas where marine predators exploit their prey. The scale of these behavioural processes is better resolved using the fine-scale temporal and spatial resolution of GPS tracking data.</t>
  </si>
  <si>
    <t>[Trathan, P. N.; Fleming, A.; Collins, M. A.] British Antarctic Survey, Cambridge CB3 0ET, England; [Bishop, C.] Univ Wales, Sch Biol Sci, Bangor LL57 2UW, Gwynedd, Wales; [Maclean, G.; Brown, P.] Navsys Ltd, Edinburgh EH27 8DY, Midlothian, Scotland</t>
  </si>
  <si>
    <t>UK Research &amp; Innovation (UKRI); Natural Environment Research Council (NERC); NERC British Antarctic Survey; Bangor University</t>
  </si>
  <si>
    <t>Trathan, PN (corresponding author), British Antarctic Survey, Madingley Rd, Cambridge CB3 0ET, England.</t>
  </si>
  <si>
    <t>pnt@bas.ac.uk</t>
  </si>
  <si>
    <t>Collins, Martin A/J-8560-2017; , Martin/ABE-6728-2020</t>
  </si>
  <si>
    <t>, Martin/0000-0001-7132-8650</t>
  </si>
  <si>
    <t>10.3354/meps07638</t>
  </si>
  <si>
    <t>WOS:000261229600023</t>
  </si>
  <si>
    <t>Clarke, A</t>
  </si>
  <si>
    <t>Clarke, Andrew</t>
  </si>
  <si>
    <t>Ecological stoichiometry in six species of Antarctic marine benthos</t>
  </si>
  <si>
    <t>Stoichiometry; Benthos; Antarctic; Phosphorus; Growth</t>
  </si>
  <si>
    <t>LIMPET NACELLA-CONCINNA; NEMERTEAN PARBORLASIA-CORRUGATUS; STAR ODONTASTER-VALIDUS; N-P STOICHIOMETRY; NITROGEN-EXCRETION; C-N; BIOCHEMICAL-COMPOSITION; ELEMENTAL COMPOSITION; EMBRYONIC-DEVELOPMENT; FRESH-WATER</t>
  </si>
  <si>
    <t>Elemental (C, N, P) composition was examined in 6 benthic marine invertebrates from Antarctica: 2 suspension feeders (the holothurian Heterocucumis steineni and the polychaete Thelepus cincinnatus), 1 epifaunal grazer (the limpet Nacella concinna), 1 deposit feeder (the polychaete Flabelligera mundata), 1 predator (the nemertean Parborlasia corrugatus) and an omnivore (the asteroid Odontaster validus). Correction for inorganic carbon was necessary only for O. validus, where skeletal carbonate produces a high mineral ash content. Elemental composition of tissue was 49 to 60 % C, 10 to 14 % N and 0.7 to 1.3 % P (all on an organic mass basis); these are all within the normal range of values for aquatic invertebrates. The most variable component was P, though variability was much lower than in stream insects. Stoichiometric molar ratios (C:P, C:N, N:P) were all typical of consumers, with a strong inverse relationship across species between %C and %N in tissue. Stoichiometry varied strongly between phyla, with less variation between species within phyla. There were also indications of variations in elemental composition (C:N ratio and %P) with feeding mode, but the limited range of taxa studied constrains this conclusion. Despite differences in nutrient status, the elemental composition of marine and freshwater benthos were, with the exception of insects, closely similar. Despite the very slow growth rates that characterise polar marine benthos, P contents were relatively high, suggesting that the predictions of the growth rate hypothesis are not upheld at low temperatures.</t>
  </si>
  <si>
    <t>Clarke, A (corresponding author), British Antarctic Survey, NERC, High Cross,Madingley Rd, Cambridge CB3 0ET, England.</t>
  </si>
  <si>
    <t>accl@bas.ac.uk</t>
  </si>
  <si>
    <t>NERC [bas010015] Funding Source: UKRI</t>
  </si>
  <si>
    <t>10.3354/meps07670</t>
  </si>
  <si>
    <t>372AI</t>
  </si>
  <si>
    <t>WOS:000260873400003</t>
  </si>
  <si>
    <t>Brown, CJ; Hobday, AJ; Ziegler, PE; Welsford, DC</t>
  </si>
  <si>
    <t>Brown, Christopher J.; Hobday, Alistair J.; Ziegler, Philippe E.; Welsford, Dirk C.</t>
  </si>
  <si>
    <t>Darwinian fisheries science needs to consider realistic fishing pressures over evolutionary time scales</t>
  </si>
  <si>
    <t>Fishery-driven evolution; Evolution; Fisheries; Heritability; Life history; Selection; Individual-based model</t>
  </si>
  <si>
    <t>SIZE-SELECTIVE MORTALITY; REACTION NORMS; MATURATION; HISTORY; FAITH; AGE; EXPLOITATION; POPULATION; TRAITS; BURDEN</t>
  </si>
  <si>
    <t>The apparently intense selective differentials imposed by many fisheries may drive the rapid evolution of growth rates. In a widely-cited laboratory experiment, Conover &amp; Munch (2002; Science 297:94-96) found considerable evolutionary change in the size of harvested fish over 4 generations. Their empirical model has since been used to estimate the impact of fishery-driven evolution on fishery sustainability. Using a mathematical, individual-based model (IBM) that simulates that experiment, we showed that the selection imposed in the Conover &amp; Munch (2002) model is unrealistically strong when compared to harvest rates in wild fisheries. We inferred the evolutionary change that could be expected over the timescale used by Conover &amp; Munch (2002), had they simulated more realistic harvest regimes, and found that the magnitude in their original experiment was 2.5 to 5 times greater. However, over evolutionary timescales of 30 generations and with realistic fishing pressure, the results of Conover &amp; Munch (2002) are comparable to wild fisheries. This simulation result provides support for the use of empirical models to predict the impacts of fishery-driven evolution on yields and sustainability. Future models should consider the timing of fishing events, the trade-off between size, maturation and growth, and density-dependent effects for a comprehensive analysis of the consequences of fishery-driven evolution.</t>
  </si>
  <si>
    <t>[Brown, Christopher J.; Hobday, Alistair J.] Univ Tasmania, Sch Zool, Hobart, Tas 7000, Australia; [Hobday, Alistair J.] CSIRO Marine &amp; Atmospher Res, Hobart, Tas 7001, Australia; [Ziegler, Philippe E.] Univ Tasmania, Tasmanian Aquaculture &amp; Fisheries Inst, Hobart, Tas 7000, Australia; [Welsford, Dirk C.] Australian Antarctic Div, Dept Environm Water Heritage &amp; Arts, Kingston, Tas 7050, Australia</t>
  </si>
  <si>
    <t>University of Tasmania; Commonwealth Scientific &amp; Industrial Research Organisation (CSIRO); University of Tasmania; Australian Antarctic Division</t>
  </si>
  <si>
    <t>Brown, CJ (corresponding author), Univ Queensland, Sch Integrat Biol, Brisbane, Qld 4072, Australia.</t>
  </si>
  <si>
    <t>christo.j.brown@gmail.com</t>
  </si>
  <si>
    <t>Hobday, Alistair/A-1460-2012; Brown, Christopher J/G-4287-2011</t>
  </si>
  <si>
    <t>Brown, Christopher J/0000-0002-7271-4091; Ziegler, Philippe/0000-0001-5940-9394; Welsford, Dirk/0000-0001-5379-5052</t>
  </si>
  <si>
    <t>staff and post-graduate students in the School of Zoology at the University of Tasmania</t>
  </si>
  <si>
    <t>We thank the staff and post-graduate students in the School of Zoology at the University of Tasmania for supporting this project. S. Tassell, P. Visconti and 3 anonymous reviewers provided helpful comments on an earlier version.</t>
  </si>
  <si>
    <t>10.3354/meps07601</t>
  </si>
  <si>
    <t>WOS:000260873400020</t>
  </si>
  <si>
    <t>Kirkwood, R; Hume, F; Hindell, M</t>
  </si>
  <si>
    <t>Kirkwood, Roger; Hume, Fiona; Hindell, Mark</t>
  </si>
  <si>
    <t>Sea temperature variations mediate annual changes in the diet of Australian fur seals in Bass Strait</t>
  </si>
  <si>
    <t>Arctocephalus; Fur seal diet; Sea temperature; Bass strait; Emmelicthys nitidus</t>
  </si>
  <si>
    <t>ARCTOCEPHALUS-PUSILLUS-DORIFERUS; TRACHURUS-DECLIVIS JENYNS; SQUID NOTOTODARUS-GOULDI; EASTERN TASMANIAN WATERS; JACK MACKEREL; NEW-ZEALAND; SARDINOPS-SAGAX; VARIABILITY; FISHERY; EVENTS</t>
  </si>
  <si>
    <t>Using a 9-yr data set, we investigated annual fluctuations in the diet of an apex predator, the Australian fur seal Arctocephalus pusillus doriferus. At Seal Rocks (northern Bass Strait), home to 25 % of the entire species population, we assessed diet through collections (1997 to 2006) of scat and regurgitate samples. We identified prey remains of 42 fish taxa and 7 cephalopod taxa. Only crustaceans that were fish parasites or fish prey (amphipods and isopods) were found; no birds were identified in the samples. Six species represented 80 % (as frequency of occurrence) of the fish prey, and the arrow squid Nototodarus gouldi represented 70 % of cephalopod prey. There was significant annual variability in the diet. Principal component analysis indicated this was variability due to the presence of redbait Emmelichthys nitidus in some years, and its near absence and replacement in other years by increased proportions of barracouta Thyrsites atun, red cod Pseudophycis bachus and leatherjackets (Family Triglidae). Generalised Linear Models indicated the annual variation was related to mean sea surface temperatures in western Bass Strait where the seals foraged. Redbait proliferated in cooler years and were less abundant in warmer years. No corresponding annual correlation was evident between the prey assemblages and either annual fisheries catch-per-unit-effort or the annual mean Southern Oscillation Index. The propensity for diet regimes to persist for several years, then change suggests that oceanographic fluctuations probably influence previously unrecognised multi-year cyclic fluctuations of prey and of Bass Strait ecosystems.</t>
  </si>
  <si>
    <t>[Kirkwood, Roger; Hume, Fiona] Res Dept, Cowes, Vic 3922, Australia; [Hindell, Mark] Univ Tasmania, Sch Zool, Antarctic Wildlife Res Unit, Hobart, Tas 7001, Australia</t>
  </si>
  <si>
    <t>Kirkwood, R (corresponding author), Res Dept, Phillip Isl Nat Pk,POB 97, Cowes, Vic 3922, Australia.</t>
  </si>
  <si>
    <t>rkirkwood@penguins.org.au</t>
  </si>
  <si>
    <t>Hindell, Mark A/K-1131-2013</t>
  </si>
  <si>
    <t>Kirkwood, Roger/0000-0003-4221-4050; Hindell, Mark/0000-0002-7823-7185</t>
  </si>
  <si>
    <t>10.3354/meps07633</t>
  </si>
  <si>
    <t>WOS:000260873400024</t>
  </si>
  <si>
    <t>Korb, RE; Whitehouse, MJ; Atkinson, A; Thorpe, SE</t>
  </si>
  <si>
    <t>Korb, R. E.; Whitehouse, M. J.; Atkinson, A.; Thorpe, S. E.</t>
  </si>
  <si>
    <t>Magnitude and maintenance of the phytoplankton bloom at South Georgia: a naturally iron-replete environment</t>
  </si>
  <si>
    <t>South Georgia; Phytoplankton blooms; Drifter tracks; Iron; Silicic acid; Diatoms</t>
  </si>
  <si>
    <t>CIRCUMPOLAR CURRENT FRONT; EXPORT EXPERIMENT CROZEX; CHLOROPHYLL-A; HIGH-NUTRIENT; PHOTOSYNTHETIC COMPETENCE; COMMUNITY STRUCTURE; PELAGIC ECOSYSTEM; ANTARCTIC OCEAN; DISSOLVED IRON; PACIFIC SECTOR</t>
  </si>
  <si>
    <t>We investigated phytoplankton blooms around the island of South Georgia, in the South Atlantic sector of the Southern Ocean, during 3 austral summer cruises. Blooms developed largely to the northwest, downstream of the island, in the Georgia Basin. Drifter buoys approached the island from the southwest and diverged in the region of ca. 55 degrees S, 40 degrees W, to pass either to the west or east of the island and into the main bloom area of the Georgia Basin. The divergence zone indicated a likely site of upwelling of nutrient-rich deepwater, whilst the eastward flowing drifters indicated nutrient enrichment through shelf sediment interactions along the Southern and eastern shelf. South Georgia's summer phytoplankton blooms were characteristic of those found in Fe-replete environments. Water column standing stocks of chl a and primary production rates were 3 times higher at stations situated within the main bloom (in-stations) compared to those outside of the bloom (out-stations). NO3:PO4 depletion ratios were significantly higher and Si(OH)(4):NO3 depletion ratios lower at in-stations compared to out-stations and were in the range expected under Fe-replete conditions. High photochemical quantum efficiency (F-v/F-m,) and low functional absorption cross-section (alpha(psm)) values, measured during our January 2005 cruise, further supported the view that in-stations were Fe-rich. However, on all cruises, both in- and out-stations were strongly dominated by the largest chl a size-fraction (microphytoplankton), and diatoms accounted for &gt;63%, of the total cell count. Reduced availability of Fe at out-stations may have prevented very large species of diatoms from blooming there, but did allow a modest accumulation of smaller diatoms. Simultaneous limitation of Fe with silicic acid or temperature may also account for the species composition and reduced productivity observed at some out-stations. Conversely, a steady supply of Fe and macronutrients, together with shallow mixed layers and slightly elevated temperatures, could account for the blooms of giant diatoms observed at in-stations.</t>
  </si>
  <si>
    <t>[Korb, R. E.; Whitehouse, M. J.; Atkinson, A.; Thorpe, S. E.] British Antarctic Survey, Cambridge CB3 0ET, England</t>
  </si>
  <si>
    <t>Korb, RE (corresponding author), British Antarctic Survey, High Cross,Madingley Rd, Cambridge CB3 0ET, England.</t>
  </si>
  <si>
    <t>rk@bas.ac.uk</t>
  </si>
  <si>
    <t>Atkinson, Angus/HOH-3417-2023</t>
  </si>
  <si>
    <t>Thorpe, Sally/0000-0002-5193-6955</t>
  </si>
  <si>
    <t>10.3354/meps07525</t>
  </si>
  <si>
    <t>366VP</t>
  </si>
  <si>
    <t>WOS:000260511800007</t>
  </si>
  <si>
    <t>Flores, H; de Putte, APV; Siegel, V; Pakhomov, EA; Van Franeker, JA; Meesters, HWG; Volckaert, FAM</t>
  </si>
  <si>
    <t>Flores, Hauke; de Putte, Anton P. Van; Siegel, Volker; Pakhomov, Evgeny A.; Van Franeker, Jan A.; Meesters, Hugo W. G.; Volckaert, Filip A. M.</t>
  </si>
  <si>
    <t>Distribution, abundance and ecological relevance of pelagic fishes in the Lazarev Sea, Southern Ocean</t>
  </si>
  <si>
    <t>Antarctic; Southern Ocean; Fish abundance; Fish ecology; Fish larvae; Energy; Food web</t>
  </si>
  <si>
    <t>ANTARCTIC FUR SEALS; NW WEDDELL SEA; EUPHAUSIA-SUPERBA; PROXIMATE COMPOSITION; FORAGING BEHAVIOR; SHETLAND ISLANDS; MESOPELAGIC FISH; OPEN WATERS; SCOTIA SEA; ROSS SEA</t>
  </si>
  <si>
    <t>The distribution and abundance of larval and postlarval fishes was investigated in the Lazarev Sea, Southern Ocean, in March and April 2004. The upper 200 m of the water column were sampled with an 8 m(2) rectangular midwater trawl at 93 stations. The larval species community clustered in a diverse coastal community with high densities of Antarctic silverfish Pleuragramma antarcticum larvae and a less diverse offshore community dominated by Antarctic jonasfish Notolepis coatsi and the lanternfish Electrona antarctica. No postlarval fish were caught in coastal areas. The offshore community of postlarval fishes consisted of the deep-sea smelt Bathylagus antarcticus, and the lanternfishes Gymnoscopelus braueri, G. nicholsi and E. antarctica. The latter species clearly dominated, occurring at mean individual and wet mass densities of 0.17 individuals m(-2) and 0.26 g m(-2), respectively. A generalized additive model significantly related the density of postlarval E. antarctica to the abundance of Antarctic krill Euphausia superba, ocean depth and sea surface temperature. The diet of E. antarctica was dominated by copepods and euphausiid larvae. Mean energy density of E. antarctica in the upper 200 m was 2.8 kJ m(-2), which is equivalent to 36% of the energy stored in Antarctic krill stocks and probably would be considerably higher if a greater depth range were considered. This suggests that E. antarctica is a major energy transmitter in the food web of the Lazarev Sea, challenging the classical krill-dominated food web paradigm of the Southern Ocean.</t>
  </si>
  <si>
    <t>[Flores, Hauke; Van Franeker, Jan A.; Meesters, Hugo W. G.] Wageningen IMARES, NL-1790 AD Den Burg, Netherlands; [Flores, Hauke] Univ Groningen, Ctr Ecol &amp; Evolutionary Studies, NL-9700 AA Haren, Netherlands; [de Putte, Anton P. Van; Volckaert, Filip A. M.] Katholieke Univ Leuven, Lab Anim Divers &amp; Systemat, B-3000 Louvain, Belgium; [Siegel, Volker] Inst Seefischerei, D-22767 Hamburg, Germany; [Pakhomov, Evgeny A.] Univ British Columbia, Dept Earth &amp; Ocean Sci, Vancouver, BC V6T 1Z4, Canada; [Pakhomov, Evgeny A.] Univ Ft Hare, Dept Zool, ZA-5700 Alice, South Africa</t>
  </si>
  <si>
    <t>Wageningen University &amp; Research; University of Groningen; KU Leuven; University of British Columbia; University of Fort Hare</t>
  </si>
  <si>
    <t>hauke.flores@wur.nl</t>
  </si>
  <si>
    <t>Volckaert, Filip/AAC-7691-2019; Van de Putte, Anton/S-3729-2019; Van de Putte, Anton P/F-6877-2012; Flores, Hauke/ABD-1888-2020</t>
  </si>
  <si>
    <t>Van de Putte, Anton/0000-0003-1336-5554; Flores, Hauke/0000-0003-1617-5449</t>
  </si>
  <si>
    <t>Alfred Wegener Institute; Netherlands AntArctic Programme (NAAP) [851.20.011]; Dutch Ministry for Agriculture, Nature and Food Quality (LNV); Belgian Science Policy (BELSPO) [EV/01/3013]; German Federal Ministry for Food, Agriculture and Consumer Protection (BMVEL)</t>
  </si>
  <si>
    <t>Alfred Wegener Institute; Netherlands AntArctic Programme (NAAP); Dutch Ministry for Agriculture, Nature and Food Quality (LNV); Belgian Science Policy (BELSPO)(Belgian Federal Science Policy Office); German Federal Ministry for Food, Agriculture and Consumer Protection (BMVEL)</t>
  </si>
  <si>
    <t>Captain and crew of RV 'Polarstern' provided excellent support in a challenging environment. We kindly thank U. Bathmann and the Alfred Wegener Institute for Polar and Marine Research (AWI) for support. We express special thanks to M. Haraldsson, M. Vortkamp and S. Scholing for technical assistance during the cruise and to R. Johnson for grammatical corrections. Some data used in this study were acquired using the GES-DISC Interactive Online Visualization ANd aNalysis Infrastructure (Giovanni) as part of the NASA's Goddard Earth Sciences (GES) Data and Information Services Center (DISC). This study was supported by the Netherlands AntArctic Programme (NAAP project no. 851.20.011), the Dutch Ministry for Agriculture, Nature and Food Quality (LNV), the Belgian Science Policy (BELSPO project no. EV/01/3013, 'PELAGANT') and the German Federal Ministry for Food, Agriculture and Consumer Protection (BMVEL).</t>
  </si>
  <si>
    <t>10.3354/meps07530</t>
  </si>
  <si>
    <t>359WC</t>
  </si>
  <si>
    <t>WOS:000260017900025</t>
  </si>
  <si>
    <t>Hewes, CD; Reiss, CS; Kahru, M; Mitchell, BG; Holm-Hansen, O</t>
  </si>
  <si>
    <t>Hewes, C. D.; Reiss, C. S.; Kahru, M.; Mitchell, B. G.; Holm-Hansen, O.</t>
  </si>
  <si>
    <t>Control of phytoplankton biomass by dilution and mixed layer depth in the western Weddell-Scotia Confluence</t>
  </si>
  <si>
    <t>phytoplankton; nutrients; iron; mixing depth; salinity; drake passage; Weddell Sea</t>
  </si>
  <si>
    <t>FLOW-INJECTION-ANALYSIS; A MAXIMA DCMS; SOUTHERN-OCEAN; ELEPHANT-ISLAND; ANTARCTIC PENINSULA; PELAGIC ECOSYSTEMS; BRANSFIELD STRAIT; ICE-EDGE; SEA; WATER</t>
  </si>
  <si>
    <t>Hydrographic, nutrient and trace metal (iron, manganese, and aluminum) concentration data, collected as part of a 2-ship survey during austral summer 2004, were used to examine the influence of upwelling and horizontal mixing on phytoplankton biomass in the region of Elephant Island and South Shetland Islands, Antarctica. Temperature/salinity property analysis and changes in trace metal and nutrient concentrations show that horizontal mixing of shelf waters, not upwelling from depth, is correlated with phytoplankton biomass in the upper mixed layer (UML). The interaction between changing UML depth and nutrient and trace metal concentrations in the UML results in a unimodal distribution of phytoplankton biomass centered at intermediate surface salinities of similar to 34. Principal component (PC) analysis of hydrographic and chemical observations resolved 3 components that accounted for 99% of the variability in nutrient and trace metal concentrations. The first PC accounted for a conservative loss of nutrients through dilution across a latitudinal salinity gradient. The second and third PCs separated mixed layer depth and nutrient consumption. Although these 2 PCs accounted for just 20% of the variability in the data matrix, they accounted for 65% of the variability in mean phytoplankton biomass, and recreated the unimodal distribution of chlorophyll concentration when modeled across a salinity gradient. We propose that the distribution of phytoplankton biomass is structured by the horizontal mixing of nutrient rich waters, derived from Weddell Sea Shelf Waters, with Antarctic Surface Water that enhances stratification and shoaling of the UML.</t>
  </si>
  <si>
    <t>[Hewes, C. D.; Holm-Hansen, O.] Univ Calif San Diego, Scripps Inst Oceanog, Div Marine Biol Res, La Jolla, CA 92093 USA; [Reiss, C. S.] SW Fisheries Sci Ctr, Antarctic Ecosyst Res Div, La Jolla, CA 92037 USA; [Kahru, M.; Mitchell, B. G.] Univ Calif San Diego, Scripps Inst Oceanog, Integrat Oceanog Div, La Jolla, CA 92093 USA</t>
  </si>
  <si>
    <t>University of California System; University of California San Diego; Scripps Institution of Oceanography; National Oceanic Atmospheric Admin (NOAA) - USA; University of California System; University of California San Diego; Scripps Institution of Oceanography</t>
  </si>
  <si>
    <t>Hewes, CD (corresponding author), Univ Calif San Diego, Scripps Inst Oceanog, Div Marine Biol Res, 9500 Gilman Dr, La Jolla, CA 92093 USA.</t>
  </si>
  <si>
    <t>chewes@ucsd.edu</t>
  </si>
  <si>
    <t>Mitchell, B. Greg/0000-0002-8550-4333</t>
  </si>
  <si>
    <t>NSF [OPP0230433, ANT0444134]; NOAA; USA Department of Commerce [NA17RJ1231]</t>
  </si>
  <si>
    <t>NSF(National Science Foundation (NSF)); NOAA(National Oceanic Atmospheric Admin (NOAA) - USA); USA Department of Commerce(National Institute of Standards &amp; Technology (NIST) - USA)</t>
  </si>
  <si>
    <t>We thank the AMLR science team, the captain and crew of the RV 'Yuzhmorgeologiya', as well as the captain, crew, and RPSC support staff aboard the ARSV 'Laurence M. Gould' for all their shipboard help. Special thanks go to S. Gille, K. Barbeau and M. Zhou, for sharing ideas and comments regarding this work, and especially to C. Measures for letting us use his trace metal data. We also thank our 2 anonymous reviewers and editor, who helped improve this manuscript. This work was supported in part by the NSF Office of Polar Programs grant numbers: OPP0230433/ ANT0444134 (G. Mitchell). This work has also been funded in part to O. Holm-Hansen from the NOAA, USA Department of Commerce, under grant NA17RJ1231. The views expressed herein are those of the authors and do not necessarily reflect the views of NOAA, NSF or any of their sub-agencies.</t>
  </si>
  <si>
    <t>10.3354/meps07515</t>
  </si>
  <si>
    <t>356HH</t>
  </si>
  <si>
    <t>WOS:000259768800002</t>
  </si>
  <si>
    <t>Johnson, ML; Tarling, GA</t>
  </si>
  <si>
    <t>Johnson, Magnus L.; Tarling, Geraint A.</t>
  </si>
  <si>
    <t>Influence of individual state on swimming capacity and behaviour of Antarctic krill Euphausia superba</t>
  </si>
  <si>
    <t>sex-dependent; moult; maturity; swarm; satiation; pleopods; Antarctic; Southern ocean</t>
  </si>
  <si>
    <t>MEGANYCTIPHANES-NORVEGICA; NORTHERN KRILL; VERTICAL MIGRATION; MOLT CYCLE; GROWTH; SWARMS; REPRODUCTION; TEMPERATURE; HYPOTHESIS; SIZE</t>
  </si>
  <si>
    <t>Swarms of Antarctic krill are frequently biased towards certain body sizes, sexes, maturities and physiological states. However, the mechanisms causing such biases remain unclear, with some speculating on differential responses to chemical or visual cues. This study examines the influence of individual state on swimming behaviour and performance, which, in turn, may cause biases in swarm composition. The frequency and strength of pleopod beats as well as the overall swimming capacity of Antarctic krill Euphausia superba were measured using a tethering technique. Individual state was considered in terms of body size, sex, maturity, moult stage and stomach fullness. Significant differences in the rate and strength of pleopod strokes as well as in the overall swimming capacity were found between individuals in different states. Body size had one of the strongest influences, with beat rate decreasing and beat strength increasing with increasing size. The sex and maturity of an individual altered this pattern, with adult females having faster but weaker pleopod beats than males of equivalent size. The difference in swimming style of females may impose a different lifestyle to that of males. Moult stage also had a significant influence on swimming, with moulting/post-moult individuals having significantly lower swimming capacities, making them unlikely to keep pace with intermoult counterparts. Both the rate and the strength of the pleopod beat were significantly lower in satiated compared to unsatiated individuals, which may contribute to the dispersion of swarms during feeding.</t>
  </si>
  <si>
    <t>[Johnson, Magnus L.] Univ Hull, Ctr Environm &amp; Marine Sci, Scarborough YO11 3AZ, N Yorkshire, England; [Tarling, Geraint A.] British Antarctic Survey, NERC, Cambridge CB3 0ET, England</t>
  </si>
  <si>
    <t>University of Hull; UK Research &amp; Innovation (UKRI); Natural Environment Research Council (NERC); NERC British Antarctic Survey</t>
  </si>
  <si>
    <t>Johnson, ML (corresponding author), Univ Hull, Ctr Environm &amp; Marine Sci, Filey Rd, Scarborough YO11 3AZ, N Yorkshire, England.</t>
  </si>
  <si>
    <t>m.johnson@hull.ac.uk</t>
  </si>
  <si>
    <t>Johnson, Magnus/0000-0002-8163-4026</t>
  </si>
  <si>
    <t>Antarctic Funding Initiative Collaborative Gearing Scheme [CGS6/16]; FLEXICON; NERC [bas010017] Funding Source: UKRI; Natural Environment Research Council [bas010017] Funding Source: researchfish</t>
  </si>
  <si>
    <t>Antarctic Funding Initiative Collaborative Gearing Scheme; FLEXICON; NERC(UK Research &amp; Innovation (UKRI)Natural Environment Research Council (NERC)); Natural Environment Research Council(UK Research &amp; Innovation (UKRI)Natural Environment Research Council (NERC))</t>
  </si>
  <si>
    <t>Our thanks to Capt. J. Burgan and the crew of RRS 'James Clark Ross,' and to chief scientist P. Ward, and the JR116 science team for their support of our work at sea. M. Thorndyke and J. Stromberg of Kristineberg Marine Station, University of Gothenburg, Sweden loaned the Power-lab equipment. S. Hull provided useful comments on earlier drafts. P. Rothery made a valuable contribution to the statistical analysis of swimming capacity measurements. This work was carried out with the support of the Antarctic Funding Initiative Collaborative Gearing Scheme (CGS6/16). The contribution of G.A.T. was carried out as part of the FLEXICON project of the DISCOVERY 2010 programme at BAS.</t>
  </si>
  <si>
    <t>10.3354/meps07533</t>
  </si>
  <si>
    <t>WOS:000259768800009</t>
  </si>
  <si>
    <t>Lake, S; Burton, H; Barker, R; Hindell, M</t>
  </si>
  <si>
    <t>Lake, Sam; Burton, Harry; Barker, Richard; Hindell, Mark</t>
  </si>
  <si>
    <t>Annual reproductive rates of Weddell seals in eastern Antarctica from 1973 to 2000</t>
  </si>
  <si>
    <t>Weddell seal; ecosystem monitoring; Antarctic; reproductive rate; mark and re-sight; MARK</t>
  </si>
  <si>
    <t>POPULATION-DYNAMICS; MCMURDO SOUND; LEPTONYCHOTES-WEDDELLII; CLIMATE VARIABILITY; ICE; SURVIVAL; HYPOTHESES; TRENDS; COSTS</t>
  </si>
  <si>
    <t>This study is based on mark and re-sight observations of Weddell seals Leptonychotes weddelli at the Vestfold Hills (68 degrees S, 78 degrees E), which form a considerable time series (1973 to 2000) pertaining to Prydz Bay in eastern Antarctica. We use multi-strata modeling to estimate annual rates of reproduction and survival whilst taking into account annual and breeding state-specific re-sight probability. Inter-annual variation in both the proportion of females producing pups and the proportion of pups surviving juvenile years reveals the indefinite outcome of each reproductive opportunity for this species of the high Antarctic. In contrast, the relatively high and stable survival rates of breeding females lead to long life span and a spreading-out of reproductive bouts so that individuals sample a number of environments and, given environmental uncertainty, increase the probability of reproducing in a good season when pups are more likely to survive. Lack of evidence for costs of reproduction suggests that Weddell seals prudently select years for reproduction to conserve energy by pre-empting unsuccessful attempts. We propose terminating pregnancy is the Weddell seal's primary physiological mechanism to endure and buffer fluctuations in the environment. The time-series of reproductive rates signals ecosystem change. From 1973 to 2000, annual reproductive rates ranged from 53 to 88%. More recent (1990s) low reproductive rates were not linked to El Nino Southern Oscillation (ENSO) events compared to earlier decades.</t>
  </si>
  <si>
    <t>[Lake, Sam] Univ Tasmania, Inst Antarctic &amp; So Ocean Studies, Hobart, Tas 7001, Australia; [Lake, Sam; Burton, Harry] Australian Antarctic Div, Kingston, Tas 7050, Australia; [Barker, Richard] Univ Otago, Dept Math &amp; Stat, Dunedin, New Zealand; [Hindell, Mark] Univ Tasmania, Sch Zool, Antarctic Wildlife Res Unit, Hobart, Tas 7001, Australia</t>
  </si>
  <si>
    <t>University of Tasmania; Australian Antarctic Division; University of Otago; University of Tasmania</t>
  </si>
  <si>
    <t>Lake, S (corresponding author), Univ Tasmania, Inst Antarctic &amp; So Ocean Studies, Private Bag 77, Hobart, Tas 7001, Australia.</t>
  </si>
  <si>
    <t>se_lake@utas.edu.au</t>
  </si>
  <si>
    <t>Hindell, Mark/0000-0002-7823-7185</t>
  </si>
  <si>
    <t>10.3354/meps07502</t>
  </si>
  <si>
    <t>WOS:000259768800023</t>
  </si>
  <si>
    <t>Meynier, L; Morel, PCH; Chilvers, BL; Mackenzie, DDS; MacGibbon, A; Duignan, PJ</t>
  </si>
  <si>
    <t>Meynier, Laureline; Morel, Patrick C. H.; Chilvers, B. Louise; Mackenzie, Duncan D. S.; MacGibbon, Alastair; Duignan, Padraig J.</t>
  </si>
  <si>
    <t>Temporal and sex differences in the blubber fatty acid profiles of the New Zealand sea lion Phocarctos hookeri</t>
  </si>
  <si>
    <t>fatty acid analysis; Phocarctos hookeri; sex variation; temporal variation; fatty acid metabolism; diet</t>
  </si>
  <si>
    <t>ANTARCTIC FUR SEALS; SOUTHERN ELEPHANT SEALS; VERTICAL STRATIFICATION; SIGNATURE ANALYSIS; RINGED SEALS; AGE-CLASS; DIET; DISPERSAL; ENERGETICS; MOVEMENTS</t>
  </si>
  <si>
    <t>We determined the fatty acid (FA) composition of the blubber of 82 New Zealand (NZ) sea lions caught as squid fishery by-catch between the years 2000 and 2006 on the Auckland Islands (51 degrees S, 166 degrees E) shelf. A combination of univariate and multivariate analyses showed significant variation in the FA composition between sexes and years. Blubber FA compositions of some males differed significantly from that of females, whereas blubber FA compositions of lactating (LF) and non-lactating females (NLF) were similar. Significant annual FA variation was revealed between the pooled years 2005/2006 and the previous years and between 2000 and 2004. Part of these differences can be attributed to different diets. Indeed, FA variation between the sexes suggests that males feed on deeper species than females, which is consistent with the current knowledge on the different diving behaviours between male and female otariids. Concerning annual variation, NZ sea lions are generalist predators, thus their diet is expected to follow the trends of prey stock availability. Nonetheless, FA metabolism is likely to cause some of the FA variation seen between sexes and years, because the deposition and mobilization of FAs would vary according to the nutritional and reproductive states of the individuals.</t>
  </si>
  <si>
    <t>[Meynier, Laureline; Duignan, Padraig J.] Massey Univ, Inst Vet Anim &amp; Biomed Sci, New Zealand Wildlife Hlth Ctr, Palmerston North 4442, New Zealand; [Meynier, Laureline; Morel, Patrick C. H.; Mackenzie, Duncan D. S.] Massey Univ, Inst Food Nutr &amp; Human Hlth, Palmerston North 4442, New Zealand; [Chilvers, B. Louise] Dept Conservat, Marine Conservat Unit, Wellington 6011, New Zealand; [MacGibbon, Alastair] Fonterra Res Ctr, Palmerston North 4442, New Zealand</t>
  </si>
  <si>
    <t>Massey University; Massey University; Fonterra</t>
  </si>
  <si>
    <t>Meynier, L (corresponding author), Massey Univ, Inst Vet Anim &amp; Biomed Sci, New Zealand Wildlife Hlth Ctr, Private Bag 11-222, Palmerston North 4442, New Zealand.</t>
  </si>
  <si>
    <t>l.meynier@massey.ac.nz</t>
  </si>
  <si>
    <t>Chilvers, B. Louise/AAV-1965-2021; MacGibbon, Alastair Kenneth Hugh/AAE-4692-2022</t>
  </si>
  <si>
    <t>Chilvers, B. Louise/0000-0002-7657-4217; MacGibbon, Alastair Kenneth Hugh/0000-0002-1223-3501</t>
  </si>
  <si>
    <t>Lewis Fitch Research Fund; Massey University Research Fund; Whale and Dolphin Adoption Project; Department of Conservation; NZ Ministry of Fisheries</t>
  </si>
  <si>
    <t>NZ sea lions were necropsied at Massey University under contracts with the Conservation Service Levies Providers, administrated by the Department of Conservation and the Ministry of Fisheries, NZ. We thank observers who collected the carcasses as well as people who assisted with the necropsies including M. Stratton, N. Gibbs, M. Bando, F. Riet-Sapriza and G. Jones. Thanks to R. Galois, M. Walton and M. Reynolds for their advice on fatty acid analysis and to 3 anonymous reviewers who provided comments. This project was sponsored by Lewis Fitch Research Fund, Massey University Research Fund, the Whale and Dolphin Adoption Project, the Department of Conservation and the NZ Ministry of Fisheries.</t>
  </si>
  <si>
    <t>10.3354/meps07617</t>
  </si>
  <si>
    <t>WOS:000259768800024</t>
  </si>
  <si>
    <t>Fritz, JJ; Neale, PJ; Davis, RF; Peloquin, JA</t>
  </si>
  <si>
    <t>Fritz, Jennifer J.; Neale, Patrick J.; Davis, Richard F.; Peloquin, Jill A.</t>
  </si>
  <si>
    <t>Response of Antarctic phytoplankton to solar UVR exposure: inhibition and recovery of photosynthesis in coastal and pelagic assemblages</t>
  </si>
  <si>
    <t>ultraviolet radiation; UVA; UVB; inhibition of photosynthesis; biological weighting functions; polar phytoplankton</t>
  </si>
  <si>
    <t>WEDDELL-SCOTIA CONFLUENCE; BIOLOGICAL WEIGHTING FUNCTION; ULTRAVIOLET-RADIATION; DUNALIELLA-TERTIOLECTA; SENSITIVITY; ACCLIMATION; MODELS</t>
  </si>
  <si>
    <t>We examined ultraviolet radiation (UVR)-induced inhibition and recovery of Antarctic phytoplankton photosynthesis during the austral spring in surface coastal waters near Palmer Stn and in the open ocean waters of the Weddell-Scotia Confluence from 1997 to 1999. Primary productivity was measured in 12 h time-course experiments using enclosures that transmitted either full-spectrum solar UVR or only long-wavelength UVA. Recovery from inhibition was determined by transferring samples from high to low UVR at intervals during the incubation. Biological weighting functions for UVR inhibition of photosynthesis were also determined for each experiment. Photosynthesis measurements were compared to model predictions using 3 exposure-response relationships: an irradiance-based (E) model that assumes rapid repair, a cumulative-exposure (H) model that assumes no repair, and a model that incorporated slow repair (R model). Open-ocean phytoplankton were generally much more sensitive to UVR inhibition than coastal assemblages, which primarily had high rates of repair (E model). In contrast, open-ocean assemblages generally recovered from inhibition more slowly (R model). Some recovery was evident in all cases, so the Hmodel was not applied to any assemblage. Our previous view of repair being either simply present or absent is therefore revised to recognize that repair rates range from slow to fast and should be taken into account, together with spectral weight, in assessments of photosynthetic response to UVR in the Southern Ocean, including the effect of ozone depletion. Information on repair rate is particularly important for simulations of production in vertically mixed surface layers.</t>
  </si>
  <si>
    <t>[Fritz, Jennifer J.; Neale, Patrick J.; Davis, Richard F.; Peloquin, Jill A.] Smithsonian Environm Res Ctr, Edgewater, MD 21037 USA</t>
  </si>
  <si>
    <t>Smithsonian Institution; Smithsonian Environmental Research Center</t>
  </si>
  <si>
    <t>Fritz, JJ (corresponding author), Univ Miami, Rosenstiel Sch Marine &amp; Atmospher Sci, 4600 Rickenbacker Causeway, Miami, FL 33149 USA.</t>
  </si>
  <si>
    <t>jfritz@rsmas.miami.edu</t>
  </si>
  <si>
    <t>Neale, Patrick/A-3683-2012</t>
  </si>
  <si>
    <t>Neale, Patrick/0000-0002-4047-8098</t>
  </si>
  <si>
    <t>National Science Foundation, Office of Polar Programs [OPP-9615342, OPP-0127073]</t>
  </si>
  <si>
    <t>National Science Foundation, Office of Polar Programs(National Science Foundation (NSF))</t>
  </si>
  <si>
    <t>Many thanks go to Palmer Station and support of the staff and crew of the ARSV 'Laurence M. Gould'. We thank G. MacIntyre for sampling assistance, R. Goodrich for radiometric data analysis, W. Brinley and D. Hayes for laboratory equipment calibration support J. Lempa for assistance with model data and M. Caruso for assistance with Fig. 4. We also thank C. Sobrino, L. Franklin and 4 anonymous reviewers for their input and suggestions, which significantly improved the quality of the manuscript. This research was funded by OPP-9615342 and OPP-0127073 to P.J.N. from the National Science Foundation, Office of Polar Programs.</t>
  </si>
  <si>
    <t>10.3354/meps07610</t>
  </si>
  <si>
    <t>350UU</t>
  </si>
  <si>
    <t>WOS:000259379600001</t>
  </si>
  <si>
    <t>Stark, JS</t>
  </si>
  <si>
    <t>Stark, Jonathan S.</t>
  </si>
  <si>
    <t>Patterns of higher taxon colonisation and development in sessile marine benthic assemblages at Casey Station, Antarctica, and their use in environmental monitoring</t>
  </si>
  <si>
    <t>marine benthos; colonisation; settlement panels; environmental impact; assemblage succession; monitoring</t>
  </si>
  <si>
    <t>SOFT-SEDIMENT ASSEMBLAGES; SPATIAL VARIABILITY; MCMURDO-STATION; HUMAN IMPACTS; SPONGE; RECRUITMENT; COMMUNITY; CONTAMINATION; POLLUTION; EPIBIOTA</t>
  </si>
  <si>
    <t>Colonisation and development of sessile epibiotic assemblages on tiles was studied at Casey Station, East Antarctica, using a mix of higher taxon classifications (family to phylum). Tiles were deployed for 1 and 3 yr at 3 control and 2 impacted locations. Assemblages on upper and lower surfaces of tiles were very different, with little colonisation of upper surfaces (0 to 11 % after 3 yr) and extensive colonisation of lower surfaces (60 to 91 % after 3 yr), which is greater than previously reported from Antarctica. Hypotheses were tested relating to spatial variation, depth, human impacts (a sewage outfall and a waste disposal site) and period of deployment. Differences between control locations were only apparent after 3 yr, but there were significant differences between control and impacted locations after 1 yr. There were differences between assemblages at 7 to 10 m and 19 to 22 m. Assemblages were initially dominated by spirorbid polychaetes and bryozoans, but by 3 yr there was significant sponge cover at some locations. Both impacted locations had significantly greater cover on upper surfaces than controls. The waste disposal site had the least cover on lower surfaces, with almost no sponge and less bryozoans than controls. The outfall had the greatest cover on the lower surfaces, the greatest cover of spirorbids and sponges but the least cover of bryozoans. Higher taxa assemblage patterns of colonisation on settlement panels are potentially useful as a medium-to long-term monitoring tool for sheltered Antarctic nearshore waters.</t>
  </si>
  <si>
    <t>Australian Antarctic Div, Kingston, Tas 7050, Australia</t>
  </si>
  <si>
    <t>Stark, JS (corresponding author), Australian Antarctic Div, Channel Highway, Kingston, Tas 7050, Australia.</t>
  </si>
  <si>
    <t>jonny.stark@aad.gov.au</t>
  </si>
  <si>
    <t>Stark, Jonathan/ABF-4025-2020</t>
  </si>
  <si>
    <t>Stark, Jonathan/0000-0002-4268-8072</t>
  </si>
  <si>
    <t>Australian Antarctic Division [2201]</t>
  </si>
  <si>
    <t>The author is grateful to G. Anderson and M. Riddle for assistance with setting tip the experiment; P. Goldsworthy, A. Tabor, and M. Riddle for diving assistance; G. Johnstone and A. Lee for laboratory assistance; S. Pearce and members of the 50th and 51st ANARE expeditions to Casey; and G. Clark and G. Johnstone for commenting on the manuscript. This work was supported by the Australian Antarctic Division (AAS project 2201).</t>
  </si>
  <si>
    <t>10.3354/meps07559</t>
  </si>
  <si>
    <t>WOS:000259379600008</t>
  </si>
  <si>
    <t>Gregr, EJ; Trites, AW</t>
  </si>
  <si>
    <t>Gregr, Edward J.; Trites, Andrew W.</t>
  </si>
  <si>
    <t>A novel presence-only validation technique for improved Steller sea lion Eumetopias jubatus critical habitat descriptions</t>
  </si>
  <si>
    <t>Steller sea lion; critical habitat; endangered species; ecosystem management; habitat model; skewness; Bering Sea; Gulf of Alaska</t>
  </si>
  <si>
    <t>ANTARCTIC FUR SEALS; ATTENDANCE PATTERNS; FORAGING AREAS; GREY SEALS; MODELS; FEMALE; DISTRIBUTIONS; TOPOGRAPHY; PREDICTION; DISPERSAL</t>
  </si>
  <si>
    <t>We used published information about foraging behaviour, terrestrial resting sites, bathymetry and seasonal ocean climate to develop hypotheses relating life-history traits and physical variables to the at-sea habitat of a wide-ranging marine predator, the Steller sea lion Eumetopias jubatus. We used these hypotheses to develop a series of habitat models predicting the probability of sea lions occurring within a 3 x 3 km(2) grid in the Gulf of Alaska and the Bering Sea. We compared these deductive model predictions with opportunistic at-sea observations of sea lions (presence-only data) using (1) a likelihood approach in a small area where effort was assumed to be uniformly distributed and (2) an adjusted skewness (Sk(adj)) test that evaluated the distribution of the predicted values associated with true presence observations. We found that the Sk(adj) statistic was comparable to the likelihood test when using pseudo-absence data, but it was more powerful for assessing the relative performance of the different predictive spatial models across the entire study area. The habitat maps we produced for adult female sea lions using the deductive modelling approach captured a higher proportion of presence observations than the current habitat model (critical habitat) used by fisheries managers since 1993 to manage Steller sea lions. Such improved predictions of habitat are necessary to effectively design, implement and evaluate fishery mitigation measures. The deductive approach we propose is suitable for modelling the habitat use of other age and sex classes, and for integrating these age/sex-class-specific models into a revised definition of critical habitat for Steller sea lions. The skewness test provides a means of comparing the relative performance of such models, using presence-only data. The approach can be readily applied to other central-place foragers.</t>
  </si>
  <si>
    <t>[Gregr, Edward J.; Trites, Andrew W.] Univ British Columbia, Marine Mammal Res Unit, AERL, Vancouver, BC V6T 1Z4, Canada</t>
  </si>
  <si>
    <t>University of British Columbia</t>
  </si>
  <si>
    <t>Gregr, EJ (corresponding author), Univ British Columbia, Marine Mammal Res Unit, AERL, Room 247,2202 Main Mall, Vancouver, BC V6T 1Z4, Canada.</t>
  </si>
  <si>
    <t>gregr@zoology.ubc.ca</t>
  </si>
  <si>
    <t>Trites, Andrew/K-5648-2012</t>
  </si>
  <si>
    <t>Trites, Andrew/0000-0003-0342-5322</t>
  </si>
  <si>
    <t>NOAA; Pollock Conservation and Cooperative Research Center (University of Alaska Fairbanks); North Pacific Marine Science Foundation; Facet Decision Systems, Inc. (Vancouver, British Columbia)</t>
  </si>
  <si>
    <t>NOAA(National Oceanic Atmospheric Admin (NOAA) - USA); Pollock Conservation and Cooperative Research Center (University of Alaska Fairbanks); North Pacific Marine Science Foundation; Facet Decision Systems, Inc. (Vancouver, British Columbia)</t>
  </si>
  <si>
    <t>We are grateful for the support, input and ideas we have received from researchers and staff at the US National Marine Fisheries Service and the At-Sea Processors Association, in particular L. Connors, L. Fritz, A. Hollowed, S. Hinckley and E. Logerwell. S. Mizroch provided helpful information regarding the Platform of Opportunity data. We thank R. Joy for several detailed reviews and fruitful discussions of the skewness statistic, an idea that emerged from conversations with C. Walters. We also thank K. Bodtker, K, Kaschner and A. Winship for insightful comments during the various stages of model and manuscript development. This study was supported by grants from NOAA, the Pollock Conservation and Cooperative Research Center (University of Alaska Fairbanks) and the North Pacific Marine Science Foundation through the North Pacific Universities Marine Mammal Research Consortium. Initial development was supported through in-kind contributions from Facet Decision Systems, Inc. (Vancouver, British Columbia),</t>
  </si>
  <si>
    <t>10.3354/meps07513</t>
  </si>
  <si>
    <t>WOS:000259379600021</t>
  </si>
  <si>
    <t>Hétérier, V; David, B; De Ridder, C; Rigaud, T</t>
  </si>
  <si>
    <t>Heterier, Vincent; David, Bruno; De Ridder, Chantal; Rigaud, Thierry</t>
  </si>
  <si>
    <t>Ectosymbiosis is a critical factor in. the local benthic biodiversity of the Antarctic deep sea</t>
  </si>
  <si>
    <t>symbiosis; species diversity; species abundance; null models; cidaroids; Weddell sea</t>
  </si>
  <si>
    <t>SPECIES ABUNDANCE DISTRIBUTIONS; NULL MODEL ANALYSIS; SOUTHERN-OCEAN; WEDDELL SEA; COOCCURRENCE PATTERNS; GASTROPOD SHELLS; SAMPLE COVERAGE; COMMUNITIES; DIVERSITY; ECHINOIDS</t>
  </si>
  <si>
    <t>In deep-sea benthic environments, competition for hard substrates is a critical factor in the distribution and diversity of organisms. In this context, the occurrence of biotic substrates in addition to mineral substrates may change the characteristics of sessile fauna. We tested this hypothesis at different localities of the Weddell Sea (Antarctica) by Studying the diversity of ectosymbionts living on the spines of cidaroids (echinoids), The presence of cidaroids promoted a higher total specific richness and increased sessile species abundance, but did riot change the diversity. Analyses of species distribution suggested that the cidaroids are a favourable habitat for sessile organisms, compared to rocks, but are colonized by relatively specialist sessile Species, leaving the unfavourable rock habitat to more generalist species. Therefore, our study highlights the role of some living organisms, such as cidaroids, as key species increasing Antarctic benthic deep-sea species richness through the niche they provide to symbiotic species.</t>
  </si>
  <si>
    <t>[Heterier, Vincent; David, Bruno; Rigaud, Thierry] Univ Bourgogne, Lab Biogeosci, CNRS, UMR 5561, F-21000 Dijon, France; [Heterier, Vincent; De Ridder, Chantal] Univ Libre Bruxelles, Biol Marine Lab, B-1050 Brussels, Belgium</t>
  </si>
  <si>
    <t>Centre National de la Recherche Scientifique (CNRS); Universite de Bourgogne; Universite Libre de Bruxelles</t>
  </si>
  <si>
    <t>Rigaud, T (corresponding author), Univ Bourgogne, Lab Biogeosci, CNRS, UMR 5561, 6 Bd Gabriel, F-21000 Dijon, France.</t>
  </si>
  <si>
    <t>thierry.rigaud@u-bourgogne.fr</t>
  </si>
  <si>
    <t>Rigaud, Thierry/ABE-2552-2020</t>
  </si>
  <si>
    <t>Rigaud, Thierry/0000-0002-0163-6639</t>
  </si>
  <si>
    <t>10.3354/meps07487</t>
  </si>
  <si>
    <t>342VD</t>
  </si>
  <si>
    <t>WOS:000258810800006</t>
  </si>
  <si>
    <t>Stevick, PT; Incze, LS; Kraus, SD; Rosen, S; Wolff, N; Baukus, A</t>
  </si>
  <si>
    <t>Stevick, Peter T.; Incze, Lewis S.; Kraus, Scott D.; Rosen, Shale; Wolff, Nicholas; Baukus, Adam</t>
  </si>
  <si>
    <t>Trophic relationships and oceanography on and around a small offshore bank</t>
  </si>
  <si>
    <t>foraging ecology; euphausiid; internal wave; consumption; cetacean; seabird</t>
  </si>
  <si>
    <t>INTERNAL SOLITARY WAVES; ATLANTIC RIGHT WHALE; ACOUSTIC-SCATTERING; NORTH-ATLANTIC; MEGANYCTIPHANES-NORVEGICA; TARGET STRENGTHS; FORAGING ECOLOGY; ANTARCTIC KRILL; SURFACE SWARMS; ZOOPLANKTON</t>
  </si>
  <si>
    <t>Small offshore banks may be sites of intense feeding by upper trophic level predators. We studied the distribution of cetaceans, seabirds, pelagic fish, euphausiids and zooplankton over a 9 x 15 km bank to determine the conditions and processes that concentrated prey there and to examine the relative importance of bottom-up or top-down controls. Euphausiids were the primary prey during most foraging activity. While these were widespread in subsurface waters, foraging was concentrated on dense surface swarms that formed during daylight hours over 2 small crests. Internal wave passage resulted in upward movement and concentration of euphausiids in these areas through a coupling of physical processes and euphausiid behavior, resulting in surface swarms. Thus, internal waves appear to provide a critical mechanism enhancing trophic energy transfer. The formation of dense, localized and accessible prey concentrations was more important to foraging than was the overall available prey biomass. The estimated maximum daily consumption of euphausiids by cetaceans, seabirds and herring combined was &lt; 0.4 % of the estimated instantaneous euphausiid biomass, and top-down control was unlikely to have substantially influenced euphausiid biomass at this site. Some predator species that do not prey extensively on euphausiids or herring were more prevalent in off-bank waters. The scales of predictability and the temporal dynamics of such features determine the manner in which populations of upper trophic level organisms utilize a variable environment.</t>
  </si>
  <si>
    <t>[Stevick, Peter T.; Incze, Lewis S.; Wolff, Nicholas; Baukus, Adam] Univ So Maine, Aquat Syst Grp, Portland, ME 04101 USA; [Rosen, Shale] Gulf Maine Res Inst, Portland, ME 04101 USA; [Stevick, Peter T.; Kraus, Scott D.] New England Aquarium, Edgerton Res Lab, Boston, MA 02110 USA</t>
  </si>
  <si>
    <t>University of Maine System; University of Southern Maine; Gulf of Maine Research Institute</t>
  </si>
  <si>
    <t>Stevick, PT (corresponding author), Univ So Maine, Aquat Syst Grp, 350 Commercial St, Portland, ME 04101 USA.</t>
  </si>
  <si>
    <t>peterstevick@aol.com; lincze@usm.maine.edu</t>
  </si>
  <si>
    <t>; Rosen, Shale/E-9444-2017</t>
  </si>
  <si>
    <t>Kraus, Scott/0000-0003-4367-6548; Wolff, Nicholas/0000-0003-1162-3556; Rosen, Shale/0000-0002-5857-1637</t>
  </si>
  <si>
    <t>10.3354/meps07475</t>
  </si>
  <si>
    <t>336JI</t>
  </si>
  <si>
    <t>WOS:000258359700002</t>
  </si>
  <si>
    <t>Villegas-Amtmann, S; Costa, DP; Tremblay, Y; Salazar, S; Aurioles-Gamboa, D</t>
  </si>
  <si>
    <t>Villegas-Amtmann, Stella; Costa, Daniel P.; Tremblay, Yann; Salazar, Sandie; Aurioles-Gamboa, David</t>
  </si>
  <si>
    <t>Multiple foraging strategies in a marine apex predator, the Galapagos sea lion Zalophus wollebaeki</t>
  </si>
  <si>
    <t>diving behaviour; foraging behaviour; Galapagos Islands; habitat utilization; individual specialization; Galapagos sea lion; Zalophus wollebaeki</t>
  </si>
  <si>
    <t>ANTARCTIC FUR SEALS; DIVING BEHAVIOR; PATTERNS; ENERGETICS; ECOLOGY; HABITAT; FEMALE; PERFORMANCE; DOLPHINS; SUMMER</t>
  </si>
  <si>
    <t>Three fundamental foraging patterns in air-breathing marine vertebrates have been described: epipelagic, mesopelagic and benthic. Many sea lion species with access to extensive continental shelves have been described as benthic foragers. Coincidently these species are considered threatened. The Galapagos sea lion Zalophus wollebaeki, a top predator in the Galapagos Islands, is also considered threatened in this ecosystem. Sea lions at the central part of the archipelago have access to a vast continental shelf. For this reason we hypothesized that sea lions within this region would dive benthically. In addition, effective protection and conservation of this species requires knowledge of their foraging patterns and habitat utilization. We investigated the diving behaviour and habitat utilization of female Z, wollebaeki of a centrally located colony situated inside the highest density area of the population using time-depth recorders and satellite telemetry. Three distinct foraging patterns were found and described (shallow, deep and bottom divers), and individuals utilizing each pattern foraged in different locations. Epipelagic, mesopelagic and benthic dives were exhibited in the sea lions' diving behaviour, but these dive types were not exclusively associated with a foraging pattern. Between foraging trips females hauled out more frequently on other islands than they did on their breeding colony. The finding of 3 distinct foraging patterns that differ spatially has direct implications for management, particularly with regard to fisheries interactions. Marine protected areas can be implemented in the regions described as Z. wollebaeki foraging areas. Z. wollebaeki's wide foraging range coupled with their use of multiple haul-out sites should be considered in future studies when determining foraging trip lengths and habitat utilization since presence/absence from the colony does not reflect foraging trip length.</t>
  </si>
  <si>
    <t>[Villegas-Amtmann, Stella; Costa, Daniel P.; Tremblay, Yann] Univ Calif Santa Cruz, Dept Ecol &amp; Evolutionary Biol, Long Marine Lab, Santa Cruz, CA 95060 USA; [Salazar, Sandie; Aurioles-Gamboa, David] IPN, Ctr Interdisciplinario Ciencias Marinas, La Paz, Baja California, Mexico; [Salazar, Sandie] Charles Darwin Fdn, Puerto Ayora, Galapagos, Ecuador</t>
  </si>
  <si>
    <t>University of California System; University of California Santa Cruz; Instituto Politecnico Nacional - Mexico</t>
  </si>
  <si>
    <t>Villegas-Amtmann, S (corresponding author), Univ Calif Santa Cruz, Dept Ecol &amp; Evolutionary Biol, Long Marine Lab, 100 Shaffer Rd, Santa Cruz, CA 95060 USA.</t>
  </si>
  <si>
    <t>stella@biology.ucsc.edu</t>
  </si>
  <si>
    <t>Carlos, Universidade Federal de São/0000-0002-0334-3899; Costa, Daniel Paul/0000-0002-0233-5782</t>
  </si>
  <si>
    <t>10.3354/meps07457</t>
  </si>
  <si>
    <t>WOS:000258359700024</t>
  </si>
  <si>
    <t>Atkinson, A; Siegel, V; Pakhomov, EA; Rothery, P; Loeb, V; Ross, RM; Quetin, LB; Schmidt, K; Fretwell, P; Murphy, EJ; Tarling, GA; Fleming, AH</t>
  </si>
  <si>
    <t>Atkinson, A.; Siegel, V.; Pakhomov, E. A.; Rothery, P.; Loeb, V.; Ross, R. M.; Quetin, L. B.; Schmidt, K.; Fretwell, P.; Murphy, E. J.; Tarling, G. A.; Fleming, A. H.</t>
  </si>
  <si>
    <t>Oceanic circumpolar habitats of Antarctic krill</t>
  </si>
  <si>
    <t>euphausiid; circumpolar; distribution; growth; mortality; predation; risk; bottom-up control; top-down control</t>
  </si>
  <si>
    <t>EUPHAUSIA-SUPERBA DANA; SEA-ICE EXTENT; SOUTHERN-OCEAN; SCOTIA SEA; MARINE ECOSYSTEM; SEASONAL DISTRIBUTION; BIOLOGICAL PROCESSES; POPULATION-DYNAMICS; PELAGIC ECOSYSTEMS; WHALING RECORDS</t>
  </si>
  <si>
    <t>Surveys of Euphausia superba often target localised shelves and ice edges where their growth rates and predation losses are atypically high. Emphasis on these areas has led to the current view that krill require high food concentrations, with a distribution often linked to shelves. For a wider, circumpolar perspective, we compiled all available net-based density data on postlarvae from 8137 mainly summer stations from 1926 to 2004. Unlike Antarctic zooplankton, the distribution of E. superba is highly uneven, with 70% of the total stock concentrated between longitudes 0 degrees and 90 degrees W. Within this Atlantic sector, krill are abundant over both continental shelf and ocean. At the Antarctic Peninsula they are found mainly over the inner shelf, whereas in the Indian-Pacific sectors krill prevail in the ocean within 200 to 300 km of the shelf break. Overall, 87% of the total stock lives over deep oceanic water (&gt; 2000 m), and krill occupy regions with moderate food concentrations (0.5 to 1.0 mg chl a m(-3)). Advection models suggest some northwards loss from these regions and into the low chlorophyll belts of the Antarctic Circumpolar Current (ACC). We found possible evidence for a compensating southwards migration, with an increasing proportion of krill found south of the ACC as the season progresses. The retention of krill in moderately productive oceanic habitats is a key factor in their high total production. While growth rates are lower than over shelves, the ocean provides a refuge from shelf-based predators. The unusual circumpolar distribution of krill thus reflects a balance between advection, migration, top-down and bottom-up processes.</t>
  </si>
  <si>
    <t>[Atkinson, A.; Schmidt, K.; Fretwell, P.; Murphy, E. J.; Tarling, G. A.; Fleming, A. H.] British Antarctic Survey, NERC, Cambridge CB3 0ET, England; [Siegel, V.] Sea Fisheries Res Inst, D-22767 Hamburg, Germany; [Pakhomov, E. A.] Univ British Columbia, Dept Earth &amp; Ocean Sci, Vancouver, BC V6T 1Z4, Canada; [Pakhomov, E. A.] Univ Ft Hare, Dept Zool, Fac Sci &amp; Technol, ZA-5700 Alice, South Africa; [Rothery, P.] CEH Monks Wood, Ctr Ecol &amp; Hydrol, Huntingdon PE28 2LS, England; [Loeb, V.] Moss Landing Marine Labs, Moss Landing, CA 95039 USA; [Ross, R. M.; Quetin, L. B.] Univ Calif Santa Barbara, Inst Marine Sci, Santa Barbara, CA 93106 USA</t>
  </si>
  <si>
    <t>UK Research &amp; Innovation (UKRI); Natural Environment Research Council (NERC); NERC British Antarctic Survey; University of British Columbia; University of Fort Hare; UK Centre for Ecology &amp; Hydrology (UKCEH); Moss Landing Marine Laboratories; University of California System; University of California Santa Barbara</t>
  </si>
  <si>
    <t>Atkinson, A (corresponding author), British Antarctic Survey, NERC, High Cross,Madingley Rd, Cambridge CB3 0ET, England.</t>
  </si>
  <si>
    <t>murphy, eugene/GZL-1620-2022; Atkinson, Angus/HOH-3417-2023</t>
  </si>
  <si>
    <t>Natural Environment Research Council [ceh010010, bas010017] Funding Source: researchfish; NERC [bas010017] Funding Source: UKRI</t>
  </si>
  <si>
    <t>10.3354/meps07498</t>
  </si>
  <si>
    <t>329EO</t>
  </si>
  <si>
    <t>WOS:000257849900001</t>
  </si>
  <si>
    <t>Fach, BA; Meyer, B; Wolf-Gladrow, D; Bathmann, U</t>
  </si>
  <si>
    <t>Fach, Bettina A.; Meyer, Bettina; Wolf-Gladrow, Dieter; Bathmann, Ulrich</t>
  </si>
  <si>
    <t>Biochemically based modeling study of Antarctic krill Euphausia superba growth and development</t>
  </si>
  <si>
    <t>Antarctic krill; biochemical; growth model; food quality; overwinter strategies</t>
  </si>
  <si>
    <t>INDUCED PHYTOPLANKTON BLOOM; MARGINAL ICE-ZONE; SOUTH-GEORGIA; SCOTIA SEA; ENERGY BUDGETS; INTERANNUAL VARIABILITY; OVERWINTERING STRATEGY; ZOOPLANKTON COMMUNITY; COPEPOD INTERACTIONS; PRIMARY PRODUCTIVITY</t>
  </si>
  <si>
    <t>A biochemical model of Antarctic krill Euphausia superba was developed to investigate the physiological mechanisms which enable krill to survive winter, when food is scarce. In this modeling approach data sets on the biochemical composition of krill and its food sources are combined into a model that takes food quality into account rather than just food availability during different seasons. Krill is defined in terms of protein, neutral lipid, polar lipid, carbohydrate, chitin, and ash content, and the model tracks krill neutral lipid content separately from weight. The model includes parameterizations of filtration, ingestion, and metabolic processes which determine krill growth rate. Initial ratios of protein, neutral lipid, polar lipid, carbohydrate and ash change in chitin response to the biochemical composition of food as krill grows. Model results show that a diet of phytoplankton food alone may be sufficient for krill to grow to observed sizes but may not be sufficient to provide the summer lipid resources that are observed in the field and that are necessary for krill to reproduce and survive winter. The inclusion of sea ice algae as an additional food is beneficial for krill at the end of winter but does not significantly change summer krill lipid content. However, the amount of lipids accumulated within krill increases significantly when krill feeds on lipid-rich heterotrophic food, which points to the importance of carnivory, even in times when phytoplankton food is available. The strategy of combusting body components to produce energy (shrinking) is found to provide the greatest source of energy for krill of all sizes during times of prolonged starvation.</t>
  </si>
  <si>
    <t>[Fach, Bettina A.; Meyer, Bettina; Wolf-Gladrow, Dieter; Bathmann, Ulrich] Alfred Wegener Inst Polar &amp; Marine Res, D-27570 Bremerhaven, Germany; [Fach, Bettina A.] Middle E Tech Univ, Inst Marine Sci, TR-33731 Erdemli, Turkey</t>
  </si>
  <si>
    <t>Helmholtz Association; Alfred Wegener Institute, Helmholtz Centre for Polar &amp; Marine Research; Middle East Technical University</t>
  </si>
  <si>
    <t>Fach, BA (corresponding author), Alfred Wegener Inst Polar &amp; Marine Res, Am Handelshafen 12, D-27570 Bremerhaven, Germany.</t>
  </si>
  <si>
    <t>bfach@ims.metu.edu.tr</t>
  </si>
  <si>
    <t>Bathmann, Ulrich/ISV-4351-2023; Fach, Bettina A/B-6003-2016; Fach, Bettina A/JCE-6687-2023; Wolf-Gladrow, Dieter A/E-7666-2010; Meyer, Bettina/ABB-5311-2020</t>
  </si>
  <si>
    <t>Fach, Bettina A/0000-0003-4688-1918; Meyer, Bettina/0000-0001-6804-9896; Wolf-Gladrow, Dieter/0000-0001-9531-8668</t>
  </si>
  <si>
    <t>10.3354/meps07366</t>
  </si>
  <si>
    <t>317WH</t>
  </si>
  <si>
    <t>WOS:000257050600014</t>
  </si>
  <si>
    <t>Limén, H; Stevens, CJ; Bourass, Z; Juniper, SK</t>
  </si>
  <si>
    <t>Limen, H.; Stevens, C. J.; Bourass, Z.; Juniper, S. K.</t>
  </si>
  <si>
    <t>Trophic ecology of siphonostomatoid copepods at deep-sea hydrothermal vents in the northeast Pacific</t>
  </si>
  <si>
    <t>hydrothermal vents; copepoda; polychaeta; food webs; stable isotopes; fatty acids; morphology; northeast Pacific</t>
  </si>
  <si>
    <t>DOMINANT ANTARCTIC COPEPODS; FUCA RIDGE; AXIAL-VOLCANO; PARALVINELLA-SULFINCOLA; FATTY-ACIDS; FOOD WEBS; RIMICARIS-EXOCULATA; CARBON ISOTOPES; STABLE CARBON; LIPIDS</t>
  </si>
  <si>
    <t>Siphonostomatoid copepods are often numerically important at deep-sea hydrothermal vents but their role in vent food webs has been little investigated. We examined food sources of 2 vent copepod species, Stygiopontius quadrispinosus and Benthoxinus spiculifer, and their potential role in the diet of paralvinellid worms, using a combination of complementary techniques: (1) stable carbon and nitrogen isotopes, (2) fatty acid composition and (3) morphological examination of copepod mouth structures using scanning electron microscopy. All 3 techniques revealed distinct differences between the 2 copepod species. Fatty acid composition identified bacteria as the main food source for both copepod species and indicated that S. quadrispinosus may be more specialised than B. spiculifer. Stable carbon and nitrogen isotopes provided further evidence that the 2 species partition food sources but feed at the same trophic level. The fatty acid composition and stable isotopes of both paralvinellid worms showed that they are generalists, with a varied diet. Further, in samples where S. quadrispinosus were highly abundant, both worms had stable carbon and nitrogen isotopic compositions that indicated that they were feeding on copepods. Although neither worm appeared anatomically equipped for seizing live copepod prey, we suggest that dead copepods may be consumed along with other particulate debris by the paralvinellid worms. The contribution of copepod remains to the detrital pool in these mineral substratum habitats remains to be quantified.</t>
  </si>
  <si>
    <t>[Bourass, Z.] Concordia Univ, Dept Chem &amp; Biochem, Montreal, PQ H4B 1R6, Canada; [Limen, H.; Stevens, C. J.; Juniper, S. K.] Univ Quebec, Ctr GEOTOP UQAM McGill, Montreal, PQ H3C 3P8, Canada</t>
  </si>
  <si>
    <t>Concordia University - Canada; University of Quebec; University of Quebec Montreal</t>
  </si>
  <si>
    <t>Limén, H (corresponding author), Swedish Parliament, Res Serv, S-10012 Stockholm, Sweden.</t>
  </si>
  <si>
    <t>helene.limen@riksdagen.se</t>
  </si>
  <si>
    <t>Juniper, Kim/N-6769-2015</t>
  </si>
  <si>
    <t>Juniper, Kim/0000-0002-7608-260X</t>
  </si>
  <si>
    <t>10.3354/meps07344</t>
  </si>
  <si>
    <t>307SG</t>
  </si>
  <si>
    <t>WOS:000256338000013</t>
  </si>
  <si>
    <t>Magalhaes, MC; Santos, RS; Hamer, KC</t>
  </si>
  <si>
    <t>Magalhaes, M. C.; Santos, R. S.; Hamer, K. C.</t>
  </si>
  <si>
    <t>Dual-foraging of Cory's shearwaters in the Azores: feeding locations, behaviour at sea and implications for food provisioning of chicks</t>
  </si>
  <si>
    <t>Calonectris diomedea; wildlife telemetry; seamounts; geolocation; home range; optimal foraging</t>
  </si>
  <si>
    <t>SHORT-TAILED SHEARWATERS; CALONECTRIS DIOMEDEA-BOREALIS; MANX SHEARWATERS; NESTLING OBESITY; ANTARCTIC WATERS; PELAGIC SEABIRD; REARING CHICKS; HOME-RANGE; ALBATROSSES; PATTERNS</t>
  </si>
  <si>
    <t>Many procellariiform (tube-nosed) seabirds employ a dual-foraging strategy involving repeated alternation of short and long foraging trips, For species breeding at sites around the Southern Ocean, long trips typically extend to areas of enhanced productivity at great distance from the nest. Evidence concerning the use of such areas during dual-foraging in other oceanographic regions is, however, limited. The present study examines the foraging strategy, locations and behaviour at sea of Cory's shearwaters in the Azores, a chain of 9 islands and associated islets in 3 groups straddling the mid-Atlantic ridge (MAR) in the North Atlantic Ocean. Adults used a dual-foraging strategy with an average of 3 short (1 to 4 d) trips followed by a long trip of up to 20 d (average 9 d). Short trips were evenly distributed around breeding sites within an average range of 75 km, whereas long trips without exception headed north of the Azores and extended up to 1800 km from the nest. Core foraging areas for long trips were within apparent regions of enhanced productivity resulting from cold water upwelling along the MAR north of the colony (for birds from the central Azores) or over the western flank of the MAR northwest of the colony (for birds from the western Azores). On long trips from all 3 island groups birds also visited an additional area of enhanced productivity in the region of Flemish Cap, close to the North American continental shelf edge. Birds commuted to and from distant foraging sites relatively quickly (25 km h(-1) on average), but individual parents did not co-ordinate their foraging activity to reduce the frequency of nights when chicks were unfed. As a result, chicks experienced much longer intervals between feeds (up to 9 nights) than conspecifics at other North Atlantic islands in the absence of dual-foraging (maximum 4 nights). However, chicks in the Azores received much larger meals when they were fed, and so the overall food provisioning rate (g d(-1)) was similar to that recorded elsewhere.</t>
  </si>
  <si>
    <t>[Magalhaes, M. C.; Hamer, K. C.] Univ Leeds, Fac Biol Sci, Leeds LS2 9JT, W Yorkshire, England; [Magalhaes, M. C.; Hamer, K. C.] Univ Leeds, Earth Biosphere Inst, Leeds LS2 9JT, W Yorkshire, England; [Magalhaes, M. C.; Santos, R. S.] Univ Azores, Dept Oceanog &amp; Fisheries, P-9901862 Horta, Faial, Portugal</t>
  </si>
  <si>
    <t>University of Leeds; University of Leeds; Universidade dos Acores</t>
  </si>
  <si>
    <t>Magalhaes, MC (corresponding author), Univ Leeds, Fac Biol Sci, Leeds LS2 9JT, W Yorkshire, England.</t>
  </si>
  <si>
    <t>mmagalhaes@uac.pt</t>
  </si>
  <si>
    <t>Serrao Santos, Ricardo/B-3960-2008</t>
  </si>
  <si>
    <t>Serrao Santos, Ricardo/0000-0002-2536-1369; Carvalho Magalhaes, Maria/0000-0003-4486-8592</t>
  </si>
  <si>
    <t>10.3354/meps07340</t>
  </si>
  <si>
    <t>WOS:000256338000023</t>
  </si>
  <si>
    <t>Deagle, BE; Gales, NJ; Hindell, MA</t>
  </si>
  <si>
    <t>Deagle, B. E.; Gales, N. J.; Hindell, M. A.</t>
  </si>
  <si>
    <t>Variability in foraging behaviour of chick-rearing macaroni penguins Eudyptes chrysolophus and its relation to diet</t>
  </si>
  <si>
    <t>dive behaviour; prey-specific foraging; time-depth recorder; heard island; feeding ecology; benthic foraging</t>
  </si>
  <si>
    <t>DIVING BEHAVIOR; ADELIE PENGUINS; KING PENGUINS; SPHENISCUS-MAGELLANICUS; PROVISIONING BEHAVIOR; CHRYSOCOME-CHRYSOCOME; ROCKHOPPER PENGUINS; MACQUARIE ISLAND; PYGOSCELIS-PAPUA; SEASONAL-CHANGES</t>
  </si>
  <si>
    <t>Flexibility in foraging behaviour and diet are characteristics of many penguin species. While these 2 aspects of foraging ecology are presumably tightly coupled, the connection between them is rarely examined directly. Using time-depth recorders and satellite telemetry we documented the foraging behaviour of 43 chick-rearing macaroni penguins Eudyptes chrysolophus at Heard Island. We also compared these behavioural data with prey recovered from the stomach contents of each tracked bird. During guard stage, foraging trips were significantly shorter (average duration = 23 +/- 18 h, range = 47 +/- 40 km) compared to creche stage (average duration = 115 +/- 112 h, range = 169 +/- 102 km). Creche stage trips also included significantly more shallow dives that appear to be related to travel (39% of dives &lt;10 m versus 27 % for guard stage). Three species dominate the birds' diet: 2 species of euphausiids and the myctophid fish Krefftichthys anderssoni. Over the breeding season, K. anderssoni was taken on trips further from the island with deeper dives compared to the euphausiids. Foraging characteristics also differed between trips targeting different euphausiid prey species; however, there was a temporal shift in the euphausiid species consumed and this was correlated with overall changes in foraging behaviour. Multivariate analysis of behavioural data from trips early in guard stage revealed 2 distinct foraging strategies: deeper and offshore versus shallower and inshore. Individual birds often switched between these strategies in successive trips. The characteristics of many dives performed during inshore trips were indicative of benthic foraging; a previously unrecorded behaviour for macaroni penguins. Euphausiids were captured on both offshore pelagic and inshore benthic trips, illustrating that when prey is found in different habitats substantial changes in foraging parameters can occur independent of dietary shifts. More detailed behavioural studies may allow prey-specific rather than habitat-specific foraging patterns to be distinguished.</t>
  </si>
  <si>
    <t>[Deagle, B. E.; Gales, N. J.] Australian Antarctic Div, Kingston, Tas 7050, Australia; [Deagle, B. E.; Hindell, M. A.] Univ Tasmania, Sch Zool, Hobart, Tas 7000, Australia</t>
  </si>
  <si>
    <t>Australian Antarctic Division; University of Tasmania</t>
  </si>
  <si>
    <t>Deagle, BE (corresponding author), Australian Antarctic Div, Channel Highway, Kingston, Tas 7050, Australia.</t>
  </si>
  <si>
    <t>bedeagle@utas.edu.au</t>
  </si>
  <si>
    <t>Deagle, Bruce E/A-9854-2008; Hindell, Mark A/K-1131-2013; Deagle, Bruce E/R-2999-2019; Hindell, Mark A/C-8368-2013</t>
  </si>
  <si>
    <t>Deagle, Bruce E/0000-0001-7651-3687; Hindell, Mark/0000-0002-7823-7185</t>
  </si>
  <si>
    <t>10.3354/meps07307</t>
  </si>
  <si>
    <t>WOS:000256338000024</t>
  </si>
  <si>
    <t>Peck, LS; Webb, KE; Miller, A; Clark, MS; Hill, T</t>
  </si>
  <si>
    <t>Peck, Lloyd S.; Webb, Karen E.; Miller, Andrew; Clark, Melody S.; Hill, Tim</t>
  </si>
  <si>
    <t>Temperature limits to activity, feeding and metabolism in the Antarctic starfish Odontaster validus</t>
  </si>
  <si>
    <t>aerobic scope; climate change; specific dynamic action; SDA; critical temperature; temperature change; competition</t>
  </si>
  <si>
    <t>BURROWING CAPACITY; THERMAL LIMITS; BIVALVE; TOLERANCE; ACCLIMATION; FISHES; OCEAN; HEAT</t>
  </si>
  <si>
    <t>Cold-blooded Antarctic marine species are highly stenothermal and possibly the most temperature-sensitive group on Earth. Studies to date have produced upper lethal temperatures in the range of 4 to 10 degrees C. Although invertebrates have not been acclimated to temperatures above 3 degrees C, some Antarctic fish have been acclimated to 4 degrees C. Activity competence has been evaluated in several Antarctic marine invertebrates and shown to be very sensitive to temperature, with 50% failures in the range of 1 to 3 degrees C for clams, limpets and scallops. The starfish Odontaster validus is much more capable of coping with elevated temperatures than any of these species. Turning speed increased with temperature, reaching a maximum at 7.5 degrees C. Temperature increase led to a clear hierarchy of response loss in the starfish, with lethal limits occurring at a higher temperature (15 degrees C) than loss of activity (9 degrees C) and loss of feeding competence (Specific Dynamic Action, or SDA) and coelomic oxygen level collapse both occurring at 6 degrees C. The higher temperature limit for activity than coelomic oxygen level could be explained by body design or taxonomic factors, which may also explain the markedly enhanced ability to cope with elevated temperature over other Antarctic marine species. Long-term acclimation and survival up to 6 degrees C should be possible for this species, which is important for species living on the west coast of the Antarctic Peninsula, possibly the fastest warming marine environment on Earth. The markedly higher resistance to elevated temperature and maintenance of function in a common Antarctic predator compared to the abilities of several of its prey species suggests that a warming environment could have dramatic consequences on the community-level ecological balance for large areas of the Antarctic benthos.</t>
  </si>
  <si>
    <t>[Peck, Lloyd S.; Webb, Karen E.; Miller, Andrew; Clark, Melody S.; Hill, Tim] British Antarctic Survey, Natl Environm Res Council, Cambridge CB3 0ET, England</t>
  </si>
  <si>
    <t>Peck, LS (corresponding author), British Antarctic Survey, Natl Environm Res Council, Madingley Rd, Cambridge CB3 0ET, England.</t>
  </si>
  <si>
    <t>l.peck@bas.ac.uk</t>
  </si>
  <si>
    <t>Webb, Karen/A-5977-2010; Clark, Melody/D-7371-2014</t>
  </si>
  <si>
    <t>Miller, Andrew John/0000-0002-3298-4978; Clark, Melody/0000-0002-3442-3824</t>
  </si>
  <si>
    <t>Natural Environment Research Council [bas010015, dml011000] Funding Source: researchfish; NERC [dml011000, bas010015] Funding Source: UKRI</t>
  </si>
  <si>
    <t>10.3354/meps07336</t>
  </si>
  <si>
    <t>306DK</t>
  </si>
  <si>
    <t>WOS:000256228300017</t>
  </si>
  <si>
    <t>Wiedenmann, J; Cresswell, K; Mangel, M</t>
  </si>
  <si>
    <t>Wiedenmann, John; Cresswell, Kate; Mangel, Marc</t>
  </si>
  <si>
    <t>Temperature-dependent growth of Antarctic krill: predictions for a changing climate from a cohort model</t>
  </si>
  <si>
    <t>Antarctic krill; temperature-dependent growth; biomass per recruit; Scotia Sea</t>
  </si>
  <si>
    <t>EUPHAUSIA-SUPERBA DANA; SEA-ICE; MARINE ECOSYSTEM; SOUTHERN-OCEAN; LIFE-HISTORY; BODY LENGTH; SCOTIA SEA; FOOD; VARIABILITY; TRANSPORT</t>
  </si>
  <si>
    <t>In the Southern Ocean, Antarctic krill Euphausia superba are the dominant prey item for many predators, and a changing climate may affect the biomass of krill available to both predators and the krill fishery. We projected growth trajectories for individual krill within cohorts and estimated how total biomass in an area available to both predators and the fishery may vary from year to year simply due to fluctuations in temperature. We used an existing temperature-dependent growth model and a time series of temperature data (1970 to 2004) for 2 regions in the Southern Ocean: (1) around the Antarctic Peninsula, and (2) around the island of South Georgia. The growth model predicted increasing individual size within a cohort (in terms of length and weight) with increasing temperature in the cooler Antarctic Peninsula region and decreasing individual size with increasing temperature in the warmer South Georgia region. Years with many cohorts of small individuals in the population resulted in biomass well below average, whereas years with many cohorts of large individuals resulted in biomass well above the average, suggesting that temporal changes in Southern Ocean temperatures may have profound effects on the total biomass in an area that is available to both predators and the fishery. Moreover, the effects of a potentially warming Southern Ocean on krill biomass will likely be more pronounced in the warmer regions occupied by krill.</t>
  </si>
  <si>
    <t>[Wiedenmann, John] Univ Calif Santa Cruz, Dept Ocean Sci, Santa Cruz, CA 95064 USA; [Wiedenmann, John; Cresswell, Kate; Mangel, Marc] Univ Calif Santa Cruz, Ctr Stock Assesment Res, Dept Appl Math &amp; Stat, Santa Cruz, CA 95064 USA</t>
  </si>
  <si>
    <t>University of California System; University of California Santa Cruz; University of California System; University of California Santa Cruz</t>
  </si>
  <si>
    <t>Wiedenmann, J (corresponding author), Univ Calif Santa Cruz, Dept Ocean Sci, 1156 High St, Santa Cruz, CA 95064 USA.</t>
  </si>
  <si>
    <t>jrwied@soe.ucsc.edu</t>
  </si>
  <si>
    <t>Wiedenmann, John/0000-0001-7622-9053; Cresswell, Katherine/0000-0003-1692-4964</t>
  </si>
  <si>
    <t>10.3354/meps07350</t>
  </si>
  <si>
    <t>WOS:000256228300018</t>
  </si>
  <si>
    <t>Lea, MA; Guinet, C; Cherel, Y; Hindell, M; Dubroca, L; Thalmann, S</t>
  </si>
  <si>
    <t>Lea, Mary-Anne; Guinet, Christophe; Cherel, Yves; Hindell, Mark; Dubroca, Laurent; Thalmann, Sam</t>
  </si>
  <si>
    <t>Colony-based foraging segregation by Antarctic fur seals at the Kerguelen Archipelago</t>
  </si>
  <si>
    <t>fur seal; segregation; myctophid; diving; Southern Ocean</t>
  </si>
  <si>
    <t>ARCTOCEPHALUS-GAZELLA; SOUTHERN-OCEAN; CALLORHINUS-URSINUS; BREEDING-SEASON; MARINE PREDATOR; HEARD ISLAND; PENGUINS; DIET; COMPETITION; VARIABILITY</t>
  </si>
  <si>
    <t>The foraging behaviour of conspecific female Antarctic fur seals (AFS) was compared simultaneously at 2 breeding colonies at Iles Kerguelen (S Indian Ocean). A remnant colony at Iles Nuageuses (IN) thought to have escaped sealing is hypothesized to be the source of increasing fur seal numbers at Cap Noir (CN) on the Kerguelen mainland. Inter-annual variability in foraging areas is known to occur in response to local oceanographic changes at CN. Given the distance between the 2 sites (similar to 160 km), we hypothesize that seals from the 2 colonies may show spatial segregation in foraging due to variability in local prey resource availability, although the transfer of foraging knowledge between sites via emigration may override such behaviour. The foraging zones, diving activity, diet and foraging success of seals were compared between sites using satellite telemetry, dive recorders and faecal analysis. No evidence of spatial foraging overlap was observed, with seals from IN conducting longer foraging trips, typified by a longer initial transit phase, than CN seals, which spent less time diving at night and dived more deeply. Pups nevertheless received higher absolute and daily energy delivery rates at IN. Diet was superficially similar at similar to 98% myctophid consumption; however, IN seals favoured the high-energy Gymnoscopelus nicholsi, indicating that local heterogeneity in marine resources likely influences the foraging zone choice of AFS. Finally, distribution patterns of 54 female AFS tracked during summer months from 1998 to 2006 reveal the importance of both on-shelf (&lt; 500 m) and shelf-break regions as foraging habitat. The core foraging area for CN in all years (10 400 km(2)) was small (similar to 10% of total foraging space); however, time spent in this region alone totaled 38%. The likelihood of spatial overlap in foraging range is higher on the east coast of Kerguelen.</t>
  </si>
  <si>
    <t>[Lea, Mary-Anne; Hindell, Mark; Thalmann, Sam] Univ Tasmania, Sch Zool, Antarctic Wildlife Res Unit, Hobart, Tas 7001, Australia; [Guinet, Christophe; Cherel, Yves; Dubroca, Laurent] CNRS, Ctr Etud Biol Chize, F-79360 Beauvoir Sur Niort, France</t>
  </si>
  <si>
    <t>University of Tasmania; Centre National de la Recherche Scientifique (CNRS)</t>
  </si>
  <si>
    <t>Lea, MA (corresponding author), Univ Tasmania, Sch Zool, Antarctic Wildlife Res Unit, POB 252-05, Hobart, Tas 7001, Australia.</t>
  </si>
  <si>
    <t>ma_lea@utas.edu.au</t>
  </si>
  <si>
    <t>Dubroca, Laurent/AAS-5187-2021; Hindell, Mark A/K-1131-2013; Guinet, Christophe/AAR-8457-2020; Lea, Mary-Anne/E-9054-2013</t>
  </si>
  <si>
    <t>Dubroca, Laurent/0000-0002-1861-0507; Hindell, Mark/0000-0002-7823-7185; Lea, Mary-Anne/0000-0001-8318-9299</t>
  </si>
  <si>
    <t>10.3354/meps07305</t>
  </si>
  <si>
    <t>WOS:000256228300025</t>
  </si>
  <si>
    <t>Klaas, C; Verity, PG; Schultes, S</t>
  </si>
  <si>
    <t>Klaas, Christine; Verity, Peter G.; Schultes, Sabine</t>
  </si>
  <si>
    <t>Determination of copepod grazing on natural plankton communities: correcting for trophic cascade effects</t>
  </si>
  <si>
    <t>ecosystem model; Zooplankton; copepod grazing; Southern Ocean; Rhincalanus gigas; Calanus simillimus</t>
  </si>
  <si>
    <t>SOUTHERN-OCEAN; ANTARCTIC COPEPODS; IRON FERTILIZATION; PREY POPULATIONS; ZOOPLANKTON; CHLOROPHYLL; IMPACT; GUT; SELECTIVITY; EISENEX</t>
  </si>
  <si>
    <t>Grazing rates and grazing selectivity of Antarctic copepods (Rhincalanus gigas, Calanus simillimus and copepods 0.8 to 2 mm in size) were determined using incubation experiments comparing plankton community development with and without added grazers. Estimates of grazing rates were corrected for trophic cascade effects using a simple ecosystem model composed of 5 compartments: (1) nanophytoplankton, (2) nanozooplankton, (3) microphytoplankton, (4) microzooplankton (mainly protozoans) and (5) copepods. Copepod grazing rates on the different planktonic compartments were derived by solving for model parameters as constrained by microscopy enumeration of nano- and microphytoplankton and nano- and microprotozooplankton in treatments with and without added copepods. Simulations based on different parameter values and model configurations support the notion that grazing estimates were robust and between 18 and 30 % higher than uncorrected estimates. Furthermore, model analyses suggest the presence of an additional trophic cascade effect due to grazing of R. gigas on small copepods and copepod developmental stages present in incubation bottles.</t>
  </si>
  <si>
    <t>[Klaas, Christine; Schultes, Sabine] Alfred Wegener Inst Polar &amp; Marine Res, D-27570 Bremerhaven, Germany; [Verity, Peter G.] Skidaway Inst Oceanog, Savannah, GA 31411 USA</t>
  </si>
  <si>
    <t>Helmholtz Association; Alfred Wegener Institute, Helmholtz Centre for Polar &amp; Marine Research; University System of Georgia; University of Georgia; Skidaway Institute of Oceanography</t>
  </si>
  <si>
    <t>Klaas, C (corresponding author), Alfred Wegener Inst Polar &amp; Marine Res, Am Handelshafen 12, D-27570 Bremerhaven, Germany.</t>
  </si>
  <si>
    <t>christine.klaas@awi.de</t>
  </si>
  <si>
    <t>Klaas, Christine/0000-0002-6679-8970</t>
  </si>
  <si>
    <t>10.3354/meps07262</t>
  </si>
  <si>
    <t>296VE</t>
  </si>
  <si>
    <t>WOS:000255573100017</t>
  </si>
  <si>
    <t>Stevens, CJ; Limén, H; Pond, DW; Gélinas, Y; Juniper, SK</t>
  </si>
  <si>
    <t>Stevens, Catherine J.; Limen, Helene; Pond, David W.; Gelinas, Yves; Juniper, S. Kim</t>
  </si>
  <si>
    <t>Ontogenetic shifts in the trophic ecology of two alvinocaridid shrimp species at hydrothermal vents on the Mariana Arc, western Pacific Ocean</t>
  </si>
  <si>
    <t>hydrothermal vent; shrimp; alvinocaridid; fatty acid; stable isotope; Mariana Arc; western Pacific Ocean</t>
  </si>
  <si>
    <t>FATTY-ACIDS; RIMICARIS-EXOCULATA; ISOTOPE COMPOSITION; FOOD SOURCES; CARBON; LIPIDS; POSITION; PISCESAE; VOLCANO; MARKERS</t>
  </si>
  <si>
    <t>The Mariana Arc of submarine volcanoes has recently been the site of an international, interdisciplinary study into the structure and function of the associated hydrothermal systems. A broad size range of juvenile alvinocaridid shrimp, Opaepele loihi and Alvinocaris sp. M (diagnosis in preparation by R. Webber), were collected from active sites on NW Rota-1 and NW Eifuku volcanoes. Fatty acid biomarkers and stable isotopes of carbon and nitrogen revealed a photosynthetic signal in small juveniles of both species, probably acquired during a pelagic larval phase. Size-related changes in the fatty acid composition of both species indicated a dietary switch from pelagic feeding on photosynthetic material to ingestion of bacteria at vent sites after settlement. This is especially true for O. loihi, where carbon isotopic signatures implied ingestion of bacteria with form II RuBisCo. Juvenile Alvinocaris sp. M also appear to have eaten bacteria, although probably those with form I RuBisCo; detritus may also feature in their diet at an early stage. With increasing size, the fatty acid and isotopic composition of Alvinocaris sp. M implied a lesser dependence on bacterivory and a possible switch to carnivory. Generally, Alvinocaris sp. M and O. loihi are more similar in their biochemical composition to opportunistic alvinocaridids than to strict bacterivores. We suggest that as juveniles both species rely to varying degrees on bacteria and that opportunism and scavenging are likely sources of nutrition in older individuals.</t>
  </si>
  <si>
    <t>[Pond, David W.] British Antarctic Survey, NERC, Div Biol Sci, Cambridge CB3 0ET, England; [Stevens, Catherine J.; Limen, Helene; Juniper, S. Kim] Univ Quebec, Ctr GEOTOP UQAM McGill, Montreal, PQ H3C 3P8, Canada; [Gelinas, Yves] Concordia Univ, Dept Biochem &amp; Chem, Montreal, PQ H4B 1R6, Canada</t>
  </si>
  <si>
    <t>UK Research &amp; Innovation (UKRI); Natural Environment Research Council (NERC); NERC British Antarctic Survey; University of Quebec; University of Quebec Montreal; Concordia University - Canada</t>
  </si>
  <si>
    <t>Stevens, CJ (corresponding author), Natl Inst Water &amp; Atmospher Res, Private Bag 14-901,301 Evans Bay Parade,Greta Poi, Wellington, New Zealand.</t>
  </si>
  <si>
    <t>catherine.stevens@niwa.co.nz</t>
  </si>
  <si>
    <t>Gelinas, Yves/K-4019-2013; Juniper, Kim/N-6769-2015</t>
  </si>
  <si>
    <t>Gelinas, Yves/0000-0001-5751-8378; Juniper, Kim/0000-0002-7608-260X</t>
  </si>
  <si>
    <t>10.3354/meps07270</t>
  </si>
  <si>
    <t>288CN</t>
  </si>
  <si>
    <t>WOS:000254963900019</t>
  </si>
  <si>
    <t>Smale, DA; Barnes, DKA; Fraser, KPP; Peck, LS</t>
  </si>
  <si>
    <t>Smale, Dan A.; Barnes, David K. A.; Fraser, Keiron P. P.; Peck, Lloyd S.</t>
  </si>
  <si>
    <t>Benthic community response to iceberg scouring at an intensely disturbed shallow water site at Adelaide Island, Antarctica</t>
  </si>
  <si>
    <t>ice scour; disturbance; antarctica; benthos</t>
  </si>
  <si>
    <t>SEA-ICE EXTENT; CASEY STATION; SIGNY ISLAND; RECOVERY; RECOLONIZATION; IMPACTS; BIODIVERSITY; COMPETITION; DIVERSITY; ABUNDANCE</t>
  </si>
  <si>
    <t>Disturbance is a key structuring force influencing shallow water communities at all latitudes. Polar nearshore communities are intensely disturbed by ice, yet little is known about benthic recovery following iceberg groundings. Understanding patterns of recovery following ice scour may be particularly important in the West Antarctic Peninsula region, one of the most rapidly changing marine systems on Earth. Here we present the first observations from within the Antarctic Circle of community recovery following iceberg scouring. Three grounded icebergs were marked at a highly disturbed site at Adelaide Island (-67 degrees S) and the resultant scours were sampled at &lt;1, 3, 6, 12, 18 and 30 to 32 mo following formation. Each iceberg impact was catastrophic in that it resulted in a 92 to 96% decrease in abundance compared with reference zones, but all post-scoured communities increased in similarity towards 'undisturbed' assemblages over time. Taxa recovered at differing rates, probably due to varying mechanisms of return to scoured areas. By the end of the study, we found no differences in abundance between scoured and reference samples for 6 out of 9 major taxonomic groups. Five pioneer species had consistently elevated abundances in scours compared with reference zones. Variability between the reference zones was high and scour assemblages became comparable to those at reference zones after just 12 mo of recovery. The study site is intensely disturbed by icebergs and the relatively simple infaunal community is well adapted to recover rapidly from disturbance events. Water movements induced by wave action and iceberg groundings at the site are likely to advect small fauna into newly formed scours and promote recovery.</t>
  </si>
  <si>
    <t>[Smale, Dan A.; Barnes, David K. A.; Fraser, Keiron P. P.; Peck, Lloyd S.] British Antarctic Survey, NERC, Cambridge CB3 0ET, England</t>
  </si>
  <si>
    <t>Smale, DA (corresponding author), British Antarctic Survey, NERC, High Cross,Madingley Rd, Cambridge CB3 0ET, England.</t>
  </si>
  <si>
    <t>dasma@bas.ac.uk</t>
  </si>
  <si>
    <t>Smale, Daniel/Y-2909-2019; Smale, Dan A/B-3240-2011</t>
  </si>
  <si>
    <t>Smale, Daniel/0000-0003-4157-541X; Fraser, Keiron/0000-0001-5491-8376</t>
  </si>
  <si>
    <t>NERC [dml011000, bas010015] Funding Source: UKRI; Natural Environment Research Council [bas010015, dml011000] Funding Source: researchfish</t>
  </si>
  <si>
    <t>10.3354/meps07311</t>
  </si>
  <si>
    <t>280NH</t>
  </si>
  <si>
    <t>Bronze, Green Submitted, Green Accepted</t>
  </si>
  <si>
    <t>WOS:000254433000008</t>
  </si>
  <si>
    <t>Tierney, M; Southwe, C; Emmerson, LM; Hindell, MA</t>
  </si>
  <si>
    <t>Tierney, Megan; Southwe, Colin; Emmerson, Louise M.; Hindell, Mark A.</t>
  </si>
  <si>
    <t>Evaluating and using stable-isotope analysis to infer diet composition and foraging ecology of Adelie penguins Pygoscelis adeliae</t>
  </si>
  <si>
    <t>stable nitrogen; stable carbon; whole blood; feathers; antarctica</t>
  </si>
  <si>
    <t>TROPHIC RELATIONSHIPS; METABOLIC-RATE; CARBON; NITROGEN; FOOD; SEABIRDS; RATIOS; BLOOD; C-13; ANTARCTICA</t>
  </si>
  <si>
    <t>We investigated whether diet composition determined from stable-isotope analysis (SIA) was similar to that determined from stomach content analysis for Adelie penguins Pygoscelis adeliae. We also used SIA to compare diet composition of adults and chicks and to evaluate intra- and inter-annual variations in diet and foraging ecology of adults over 2 consecutive breeding seasons (2001-2002 and 2002-2003) and 3 consecutive moulting seasons (2000-2001 to 2002-2003). Diet determined from SIA closely mirrored that determined from stomach contents at the broad taxonomic level (i.e. fish vs. krill). Diet composition did not differ between adults and chicks, but the more depleted VC values of adult blood suggest that adults may forage for themselves and provide their chicks with food from different locations. Adult delta C-13 signatures varied intra-annually with the most depleted values measured during the arrival period, followed by incubation, guard and then creche. delta N-15 analyses indicated that krill and fish were being consumed prior to arrival at the breeding colonies and during incubation foraging trips, while the primary prey consumed during chick-rearing differed between years. delta(15) N did not vary in the pre-moult periods, with adult diet consisting primarily of krill in all 3 years, but the depleted VC signatures of feathers in 2000-2001 indicated that adults foraged farther from shore in that year. This study demonstrates that SIA is useful for monitoring diet and foraging areas of Adelie penguins at broad resolutions, particularly during periods when it is not possible to use conventional dietary techniques, although penguins may be most vulnerable to impacts such as commercial fishing during these periods as well.</t>
  </si>
  <si>
    <t>[Tierney, Megan; Hindell, Mark A.] Univ Tasmania, Antarctic Wildlife Res Unit, Sch Zool, Antarctic Climate &amp; Ecosyst Cooperat Res Ctr, Hobart, Tas 7001, Australia; [Southwe, Colin; Emmerson, Louise M.] Australian Antarctic Div, Dept Environm &amp; Water, Kingston, Tas 7050, Australia</t>
  </si>
  <si>
    <t>Antarctic Climate &amp; Ecosystems Cooperative Research Centre (ACE CRC); University of Tasmania; Australian Antarctic Division</t>
  </si>
  <si>
    <t>Tierney, M (corresponding author), Univ Tasmania, Antarctic Wildlife Res Unit, Sch Zool, Antarctic Climate &amp; Ecosyst Cooperat Res Ctr, Private Bag 05, Hobart, Tas 7001, Australia.</t>
  </si>
  <si>
    <t>megan.tierney@aad.gov.au</t>
  </si>
  <si>
    <t>Bond, Alexander L/A-3786-2010; Hindell, Mark A/K-1131-2013; Hindell, Mark A/C-8368-2013</t>
  </si>
  <si>
    <t>10.3354/meps07235</t>
  </si>
  <si>
    <t>WOS:000254433000025</t>
  </si>
  <si>
    <t>Eddie, B; Krembs, C; Neuer, S</t>
  </si>
  <si>
    <t>Eddie, Brian; Krembs, Christopher; Neuer, Susanne</t>
  </si>
  <si>
    <t>Characterization and growth response to temperature and salinity of psychrophilic, halotolerant Chlamydomonas sp ARC isolated from Chukchi Sea ice</t>
  </si>
  <si>
    <t>Chlamydomonas; Chlorophyta; Arctic sea ice; Chukchi Sea; psychrophile; euryhaline; phylogeny</t>
  </si>
  <si>
    <t>GREEN-ALGA; SEQUENCE; GENE; CHLOROPHYCEAE; BIOSYNTHESIS; ANTARCTICA; VOLVOCALES; PHYLOGENY; DYNAMICS</t>
  </si>
  <si>
    <t>Sea ice provides a habitat for a diverse community of microorganisms, which comprise a substantial portion of primary production in ice-covered seas. Organisms immured in sea ice have to withstand strong changes in temperature and salinity. We report on the growth rate response to salinity and temperature of the chlorophyte Chlamydomonas sp. ARC, isolated from land-fast sea ice in the Chukchi Sea, Alaska. We found it to be a euryhaline psychrophile capable of growth at temperatures as low as -5 degrees C and at salinities from 2.5 to 100 parts per thousand. The maximum growth rate of 0.41 d(-1) (+/- 0.027) was found at 5 degrees C and a salinity of 30 parts per thousand. The salinity growth range of this organism indicates that it is well adapted to the variable salinity environment associated with brine channels in sea ice, as well as the hypotonic conditions associated with melting ice. Based upon morphology and molecular phylogenetic reconstructions using the 18S ribosomal ribonucleic acid (rRNA) gene and the ribulose 1,5-bisphosphate carboxylase/oxygenase large subunit (rbcL) gene, this Arctic Chlamydomonas falls into a distinct clade containing other as yet unassigned psychrophilic Chlamydomonas strains isolated from Arctic and Antarctic environments, pointing to a bi-polar distribution of this clade. It is also very closely related to the brackish water mesophile Chlamydomonas kuwadae Gerloff, and is capable of growth above the psychrophilic range in low-salinity medium, indicating that it may represent an intermediate between mesophilic and psychrophilic lifestyles.</t>
  </si>
  <si>
    <t>[Eddie, Brian; Neuer, Susanne] Arizona State Univ, Sch Life Sci, Tempe, AZ 85287 USA; [Krembs, Christopher] Univ Washington, Appl Phys Lab, Seattle, WA 98195 USA</t>
  </si>
  <si>
    <t>Arizona State University; Arizona State University-Tempe; University of Washington; University of Washington Seattle</t>
  </si>
  <si>
    <t>Neuer, S (corresponding author), Arizona State Univ, Sch Life Sci, Tempe, AZ 85287 USA.</t>
  </si>
  <si>
    <t>susanne.neuer@asu.edu</t>
  </si>
  <si>
    <t>Eddie, Brian/A-5075-2018</t>
  </si>
  <si>
    <t>Eddie, Brian/0000-0002-3559-3892</t>
  </si>
  <si>
    <t>10.3354/meps07243</t>
  </si>
  <si>
    <t>268WB</t>
  </si>
  <si>
    <t>WOS:000253609500010</t>
  </si>
  <si>
    <t>Cherniawsky, JY; Sutherland, GJ</t>
  </si>
  <si>
    <t>Cherniawsky, Josef Y.; Sutherland, Graig J.</t>
  </si>
  <si>
    <t>Large-scale errors in ERS altimeter data</t>
  </si>
  <si>
    <t>MARINE GEODESY</t>
  </si>
  <si>
    <t>satellite altimetry; ERS; crossover analysis; sea level error</t>
  </si>
  <si>
    <t>TOPEX/POSEIDON ALTIMETRY; MODEL; TIDES</t>
  </si>
  <si>
    <t>A method is described for mapping time-uncorrelated large-scale errors in satellite altimeter sea surface heights. Standard deviations of differences between pairs of successive measurements at track crossovers are computed, and the functional dependence of these deviations on absolute time difference is used to estimate the errors of individual measurements. This is first applied to all of ERS-1,2 altimeter data in the Pacific Ocean, yielding average errors of 3.2 cm in the deep ocean (&gt;1 km) and 4.7 cm in the shallow seas (&lt;1 km). The procedure is repeated for variable latitude bands, each with a full range of possible time differences, yielding a meridional profile of computed errors, ranging from 2.6 cm near the Antarctic continent (67-60S) and South Subtropical regions (25-5S) to 3.5 cm in the Antarctic Circumpolar Current (60-45S) and the Northern Hemisphere Subtropical and Subpolar Gyres. Finally, coarse-resolution maps of these errors are produced by subdividing the Pacific Ocean into latitude-longitude bins, each large enough to contain a sufficient number of samples for the functional fits. The larger errors are in Northwest and Subtropical Pacific, especially in South China Sea (4.3 to 4.5 cm) and off northern Australia (5.4 cm), while the smaller errors (2.5 to 3 cm) are in Northeast Pacific, central Tropical Pacific and near Antarctica in Southeast Pacific Ocean. These are lower bounds on altimeter errors, as they do not include contributions from time-correlated errors. We find that the computed error fields are not correlated with sea level standard deviations, thus disproving the notion that altimeter error variance can be scaled with the variance of sea surface height data.</t>
  </si>
  <si>
    <t>[Cherniawsky, Josef Y.; Sutherland, Graig J.] Fisheries &amp; Oceans Canada, Inst Ocean Sci, Sidney, BC V8L 4B2, Canada</t>
  </si>
  <si>
    <t>Cherniawsky, JY (corresponding author), Fisheries &amp; Oceans Canada, Inst Ocean Sci, POB 6000, Sidney, BC V8L 4B2, Canada.</t>
  </si>
  <si>
    <t>chemiawskyj@pac.dfo-mpo.gc.ca</t>
  </si>
  <si>
    <t>Sutherland, Graigory/D-5526-2012</t>
  </si>
  <si>
    <t>Sutherland, Graigory/0000-0001-6109-9022</t>
  </si>
  <si>
    <t>325 CHESTNUT ST, SUITE 800, PHILADELPHIA, PA 19106 USA</t>
  </si>
  <si>
    <t>0149-0419</t>
  </si>
  <si>
    <t>MAR GEOD</t>
  </si>
  <si>
    <t>Mar. Geod.</t>
  </si>
  <si>
    <t>JAN-MAR</t>
  </si>
  <si>
    <t>10.1080/01490410701812212</t>
  </si>
  <si>
    <t>Geochemistry &amp; Geophysics; Oceanography; Remote Sensing</t>
  </si>
  <si>
    <t>273PN</t>
  </si>
  <si>
    <t>WOS:000253944300002</t>
  </si>
  <si>
    <t>Solli, K; Kuvaas, B; Kristoffersen, Y; Leitchenkov, G; Guseva, J; Gandjukhin, V</t>
  </si>
  <si>
    <t>Solli, K.; Kuvaas, B.; Kristoffersen, Y.; Leitchenkov, G.; Guseva, J.; Gandjukhin, V.</t>
  </si>
  <si>
    <t>The Cosmonaut Sea wedge</t>
  </si>
  <si>
    <t>MARINE GEOPHYSICAL RESEARCH</t>
  </si>
  <si>
    <t>Antarctica; Cosmonaut Sea; deep-sea deposits; depositional processes; seismics</t>
  </si>
  <si>
    <t>SEISMO-STRATIGRAPHIC ANALYSIS; ANTARCTIC CONTINENTAL-MARGIN; EAST ANTARCTICA; WEDDELL SEA; GLACIOMARINE DEPOSITS; ENDERBY-LAND; TURBIDITE; FAN; MORPHOLOGY; RECORD</t>
  </si>
  <si>
    <t>A set of multi-channel seismic profiles (similar to 15,000 km) is used to study the depositional evolution of the Cosmonaut Sea margin of East Antarctica. We recognize a regional sediment wedge, below the upper parts of the continental rise, herein termed the Cosmonaut Sea Wedge. The wedge is situated stratigraphically below the inferred glaciomarine section and extends for at least 1,200 km along the continental margin with a width that ranges from 80 to about 250 km. The morphology of the wedge and its associated depositional features indicate a complex depositional history, where the deep marine depositional sites were influenced by both downslope and alongslope processes. This interaction resulted in the formation of several proximal depocentres, which at their distal northern end are flanked by elongated mounded drifts and contourite sheets. The internal stratification of the mounded drift deposits indicates that westward flowing bottom currents reworked the marginal deposits. The action of these currents together with sea-level changes is considered to have controlled the growth of the wedge. We interpret the Cosmonaut Sea Wedge as a composite feature comprising several bottom current reworked fan systems. The wide spectrum of depositional geometries in the stratigraphic column reflects dramatic variations in sediment supply from the continental margin as well as varying interaction between downslope and alongslope processes.</t>
  </si>
  <si>
    <t>[Solli, K.; Kuvaas, B.; Kristoffersen, Y.] Univ Bergen, Dept Earth Sci, N-5007 Bergen, Norway; [Leitchenkov, G.] VNIIOKeangeol, St Petersburg, Russia; [Guseva, J.; Gandjukhin, V.] PMGRE, Lomonosov 189510, Russia</t>
  </si>
  <si>
    <t>University of Bergen</t>
  </si>
  <si>
    <t>Solli, K (corresponding author), Univ Bergen, Dept Earth Sci, N-5007 Bergen, Norway.</t>
  </si>
  <si>
    <t>Kenneth.Solli@geo.uib.no</t>
  </si>
  <si>
    <t>Leitchenkov, German/0000-0001-6316-8511</t>
  </si>
  <si>
    <t>0025-3235</t>
  </si>
  <si>
    <t>1573-0581</t>
  </si>
  <si>
    <t>MAR GEOPHYS RES</t>
  </si>
  <si>
    <t>Mar. Geophys. Res.</t>
  </si>
  <si>
    <t>10.1007/s11001-008-9045-x</t>
  </si>
  <si>
    <t>Geochemistry &amp; Geophysics; Oceanography</t>
  </si>
  <si>
    <t>303ZZ</t>
  </si>
  <si>
    <t>WOS:000256081100005</t>
  </si>
  <si>
    <t>Horsburgh, JM; Morrice, M; Lea, MA; Hindell, MA</t>
  </si>
  <si>
    <t>Horsburgh, Judy M.; Morrice, Margie; Lea, Mary-Anne; Hindell, Mark A.</t>
  </si>
  <si>
    <t>Determining feeding events and prey encounter rates in a southern elephant seal: a method using swim speed and stomach temperature</t>
  </si>
  <si>
    <t>MARINE MAMMAL SCIENCE</t>
  </si>
  <si>
    <t>MIROUNGA-LEONINA; MACQUARIE ISLAND; FORAGING SUCCESS; CONSUMPTION; TELEMETRY; SEABIRDS; STRATEGIES; MOVEMENTS; DEPTH; ZONES</t>
  </si>
  <si>
    <t>[Horsburgh, Judy M.] Univ Tasmania, Inst Antarctic &amp; So Ocean Studies, Hobart, Tas 7001, Australia; [Horsburgh, Judy M.; Lea, Mary-Anne; Hindell, Mark A.] Univ Tasmania, Sch Zool, Antarctic Wildlife Res Unit, Hobart, Tas 7001, Australia; [Morrice, Margie] Deakin Univ, Sch Ecol &amp; Environm, Warrnambool, Vic 3280, Australia</t>
  </si>
  <si>
    <t>University of Tasmania; University of Tasmania; Deakin University</t>
  </si>
  <si>
    <t>Horsburgh, JM (corresponding author), Univ Tasmania, Inst Antarctic &amp; So Ocean Studies, Private Bag 77, Hobart, Tas 7001, Australia.</t>
  </si>
  <si>
    <t>judithh0@utas.edu.au</t>
  </si>
  <si>
    <t>Hindell, Mark A/K-1131-2013; Hindell, Mark A/C-8368-2013; Lea, Mary-Anne/E-9054-2013</t>
  </si>
  <si>
    <t>Lea, Mary-Anne/0000-0001-8318-9299; Hindell, Mark/0000-0002-7823-7185; Morrice, Margie/0000-0001-6903-4565</t>
  </si>
  <si>
    <t>0824-0469</t>
  </si>
  <si>
    <t>1748-7692</t>
  </si>
  <si>
    <t>MAR MAMMAL SCI</t>
  </si>
  <si>
    <t>Mar. Mamm. Sci.</t>
  </si>
  <si>
    <t>10.1111/j.1748-7692.2007.00156.x</t>
  </si>
  <si>
    <t>262AN</t>
  </si>
  <si>
    <t>WOS:000253121500017</t>
  </si>
  <si>
    <t>Visser, IN; Smith, TG; Bullock, ID; Green, GD; Carlsson, OGL; Imberti, S</t>
  </si>
  <si>
    <t>Visser, Ingrid N.; Smith, Thomas G.; Bullock, Ian D.; Green, Geoffrey D.; Carlsson, Olle G. L.; Imberti, Santiago</t>
  </si>
  <si>
    <t>Antarctic peninsula killer whales (Orcinus orca) hunt seals and a penguin on floating ice</t>
  </si>
  <si>
    <t>BEHAVIOR</t>
  </si>
  <si>
    <t>[Visser, Ingrid N.] Orca Res Trust, Tutukaka 0153, New Zealand; [Smith, Thomas G.] Eco Marine Corp, Beaulac Garthby, PQ G0Y 1B0, Canada</t>
  </si>
  <si>
    <t>Visser, IN (corresponding author), Orca Res Trust, POB 402043, Tutukaka 0153, New Zealand.</t>
  </si>
  <si>
    <t>ingrid@orca.org.nz</t>
  </si>
  <si>
    <t>Visser, Ingrid Natasha/ABE-4929-2021</t>
  </si>
  <si>
    <t>Visser, Ingrid/0000-0001-8613-6598</t>
  </si>
  <si>
    <t>BLACKWELL PUBLISHING</t>
  </si>
  <si>
    <t>9600 GARSINGTON RD, OXFORD OX4 2DQ, OXON, ENGLAND</t>
  </si>
  <si>
    <t>10.1111/j.1748-7692.2007.00163.x</t>
  </si>
  <si>
    <t>WOS:000253121500019</t>
  </si>
  <si>
    <t>van den Hoff, J; Morrice, MG</t>
  </si>
  <si>
    <t>van den Hoff, John; Morrice, Margaret G.</t>
  </si>
  <si>
    <t>Sleeper shark (Somniosus antarcticus) and other bite wounds observed on southern elephant seals (Mirounga leonina) at Macquarie Island</t>
  </si>
  <si>
    <t>WHALES ORCINUS-ORCA; SEASONAL OCCURRENCE; CEPHALOPOD PREY; PHOCA-VITULINA; MARION ISLAND; HOT-IRON; WATERS; PREDATION; FREQUENCIES; POPULATION</t>
  </si>
  <si>
    <t>[van den Hoff, John; Morrice, Margaret G.] Australian Antarctic Div, Kingston, Tas 7050, Australia</t>
  </si>
  <si>
    <t>van den Hoff, J (corresponding author), Australian Antarctic Div, 208 Channel Highway, Kingston, Tas 7050, Australia.</t>
  </si>
  <si>
    <t>john.vandenhoff@aad.gov.au</t>
  </si>
  <si>
    <t>Morrice, Margie/0000-0001-6903-4565</t>
  </si>
  <si>
    <t>10.1111/j.1748-7692.2007.00181.x</t>
  </si>
  <si>
    <t>WOS:000253121500021</t>
  </si>
  <si>
    <t>Heinemann, G</t>
  </si>
  <si>
    <t>Heinemann, Guenther</t>
  </si>
  <si>
    <t>The polar regions: a natural laboratory for boundary layer meteorology - a review</t>
  </si>
  <si>
    <t>METEOROLOGISCHE ZEITSCHRIFT</t>
  </si>
  <si>
    <t>DACH 2007 Conference</t>
  </si>
  <si>
    <t>SEP 10-14, 2007</t>
  </si>
  <si>
    <t>Hamburg, GERMANY</t>
  </si>
  <si>
    <t>COLD-AIR OUTBREAK; MARGINAL ICE-ZONE; TURBULENCE STRUCTURES; KATABATIC FLOW; ROLL VORTICES; SURFACE DRAG; SEA; PARAMETERIZATION; DYNAMICS; PARALLEL</t>
  </si>
  <si>
    <t>Polar regions offer the opportunity to study many processes under strongly simplified conditions ('natural laboratory'). For example, the plateau areas of the polar ice sheets represent areas with an almost ideal homogeneous surface over a scale of several 100 km, which are extraordinary suited for studies of the stable boundary layer (SBL). In coastal areas we find often a transition of the SBL to a convective boundary layer (CBL) over polynyas, which allows for near-ideal studies of internal boundary layers. The sea ice areas in polar regions are another example for natural laboratory conditions, since they represent large areas with well-defined heterogeneities of two surface types. The present review shows examples of how the polar areas can be used as a natural laboratory for field experiments in the Arctic and Antarctic with a focus on the work performed by German research groups.</t>
  </si>
  <si>
    <t>Univ Trier, Dept Environm Meteorol, D-54286 Trier, Germany</t>
  </si>
  <si>
    <t>Heinemann, G (corresponding author), Univ Trier, Dept Environm Meteorol, D-54286 Trier, Germany.</t>
  </si>
  <si>
    <t>Heinemann, Gunther/0000-0002-4831-9016</t>
  </si>
  <si>
    <t>E SCHWEIZERBARTSCHE VERLAGSBUCHHANDLUNG</t>
  </si>
  <si>
    <t>STUTTGART</t>
  </si>
  <si>
    <t>NAEGELE U OBERMILLER, SCIENCE PUBLISHERS, JOHANNESSTRASSE 3A, D 70176 STUTTGART, GERMANY</t>
  </si>
  <si>
    <t>0941-2948</t>
  </si>
  <si>
    <t>1610-1227</t>
  </si>
  <si>
    <t>METEOROL Z</t>
  </si>
  <si>
    <t>Meteorol. Z.</t>
  </si>
  <si>
    <t>10.1127/0941-2948/2008/0327</t>
  </si>
  <si>
    <t>367IJ</t>
  </si>
  <si>
    <t>WOS:000260545400006</t>
  </si>
  <si>
    <t>Romanenko, LA; Tanaka, N; Uchino, M; Kalinovskaya, NI; Mikhailov, VV</t>
  </si>
  <si>
    <t>Romanenko, Lyudmila A.; Tanaka, Naoto; Uchino, Masataka; Kalinovskaya, Natalia I.; Mikhailov, Valery V.</t>
  </si>
  <si>
    <t>Diversity and Antagonistic Activity of Sea lee Bacteria Isolated from the Sea of Japan</t>
  </si>
  <si>
    <t>MICROBES AND ENVIRONMENTS</t>
  </si>
  <si>
    <t>sea-ice bacteria; phylogeny; antagonistic activity</t>
  </si>
  <si>
    <t>CYANOBACTERIAL MAT SAMPLE; SP-NOV.; SP. NOV; SHEWANELLA-FRIGIDIMARINA; PSYCHROPHILIC BACTERIA; GEN. NOV.; EMENDED DESCRIPTION; ICE BACTERIA; MARINE; ANTARCTICA</t>
  </si>
  <si>
    <t>The aim of the study was to survey cultivable heterotrophic bacteria from sea ice samples collected from Peter the Great Bay of the Sea of Japan, and to test the isolates for antagonistic activity, A total of 195 strains were isolated and investigated by a phenotypic approach, The 16S rRNA gene sequence analysis of thirty eight strains revealed primarily representatives of the class Gammaproteabacteria, phylum Bacteroideles, and phylum Actinobacteria. Members of the class Alphaproteobacteria were a minor component. Most strains shared 98-99% sequence similarity to recognize(] species, including those recovered previously from Antarctic or Arctic sea ice or polar environments, Shewanella frigidimarina, Psychrobacter urativorans, Psychrobacter glacincola, Psychrobacter fozii, Pseudomonas veronii, or Pseudomonas proteolytica. At least seven bacterial groups may represent novel species within known genera. Five isolates have been previously described as the novel species Marinomonas primoryensis and Psychrobacter maritimus. Antagonistic activity assays revealed a number of strains-antagonists of the Pseudomonas fluorescens group, Bacillus and Nocardioides displaying remarkable antifungal and antibacterial activities. For the first time our findings show that sea ice offshore in the Sea of Japan represents an untapped source of bacterial biodiversity and microorganisms capable of antibacterial and antifungal metabolite production.</t>
  </si>
  <si>
    <t>[Romanenko, Lyudmila A.; Kalinovskaya, Natalia I.; Mikhailov, Valery V.] Russian Acad Sci, Far Eastern Branch, Pacific Inst Bioorgan Chem, Vladivostok 690022, Russia; [Tanaka, Naoto] Tokyo Univ Agr, NODAI Culture Collect Ctr, Setagaya Ku, Tokyo 1568502, Japan; [Uchino, Masataka] Tokyo Univ Agr, Dept Appl Biol &amp; Chem, Lab Food Sci &amp; Technol, Tokyo 1568502, Japan</t>
  </si>
  <si>
    <t>Russian Academy of Sciences; Elyakov Pacific Institute of Bioorganic Chemistry; Tokyo University of Agriculture; Tokyo University of Agriculture</t>
  </si>
  <si>
    <t>Romanenko, LA (corresponding author), Russian Acad Sci, Far Eastern Branch, Pacific Inst Bioorgan Chem, Prospect 100 Let Vladivostoku, Vladivostok 690022, Russia.</t>
  </si>
  <si>
    <t>lro@piboc.dvo.ru</t>
  </si>
  <si>
    <t>Mikhailov, Valery V/M-6780-2013; Romanenko, Lyudmila A./M-6799-2013</t>
  </si>
  <si>
    <t>Romanenko, Lyudmila/0000-0001-9843-3637</t>
  </si>
  <si>
    <t>JAPANESE SOC MICROBIAL ECOLOGY, DEPT BIORESOURCE SCIENCE</t>
  </si>
  <si>
    <t>IBARAKI</t>
  </si>
  <si>
    <t>C/O DR. HIROYUKI OHTA, SEC, IBARAKI UNIV COLLEGE OF AGRICULT, AMI-MACHI, IBARAKI, JAPAN</t>
  </si>
  <si>
    <t>1342-6311</t>
  </si>
  <si>
    <t>MICROBES ENVIRON</t>
  </si>
  <si>
    <t>Microbes Environ.</t>
  </si>
  <si>
    <t>10.1264/jsme2.23.209</t>
  </si>
  <si>
    <t>338RK</t>
  </si>
  <si>
    <t>WOS:000258525800005</t>
  </si>
  <si>
    <t>Funakawa, S; Nishi, H</t>
  </si>
  <si>
    <t>Funakawa, Satoshi; Nishi, Hiroshi</t>
  </si>
  <si>
    <t>Radiolarian faunal changes during the Eocene-Oligocene transition in the Southern Ocean (Maud Rise, ODP Leg 113, Site 689) and its significance in paleoceanographic change</t>
  </si>
  <si>
    <t>MICROPALEONTOLOGY</t>
  </si>
  <si>
    <t>11th International Meeting of Radiolarian Researchers (InterRad XI)</t>
  </si>
  <si>
    <t>MAR 19-24, 2006</t>
  </si>
  <si>
    <t>Wellington, NEW ZEALAND</t>
  </si>
  <si>
    <t>CALCAREOUS NANNOFOSSILS; SEA; ATLANTIC; BIOSTRATIGRAPHY; TEMPERATURES; EQUATORIAL; PACIFIC; MG/CA</t>
  </si>
  <si>
    <t>Quantitative analysis of radiolarian assemblages from the late middle Eocene to late Oligocene at Hole 689B (ODP Leg 113, Maud Rise, Southern Ocean) reveal that radiolarian faunal turnovers occurred at similar to 38.5 Ma (Subchron C18n1n), similar to 36.3 Ma (Subchron C16n2n), 34.5-33.9 Ma (Subchron C13r), similar to 28.3 Ma (Subehron C9r), similar to 26.9 Ma (Subchron C8r), and 26.4-26.2 Ma (Subchron C8n2n). These faunal turnovers are characterized by an increase or decrease of the Antarctic-diagnostic assemblage. Furthermore, species diversity indexes such as species richness, diversity and equitability and total accumulation rate of radiolarians decreases significantly near the turnover events. The patterns of increase and decrease in the Antarctic group suggest that the faunal turnover events are interpreted as replacement events between the Antarctic and Subantarctic assemblages. The intervals with higher levels of the Antarctic group at 38.5-36.3 Ma, 34.5-33.9 Ma, and 28.3-26.9 Ma were under the influence of the Antarctic bioprovince. Two faunal turnover events at 34.5-33.9 Ma and similar to 28.3 Ma are correlated with the positive shift of 6110 isotopes in the early stage of Oi-1 glaciation and Oi-2a event, respectively. Events at similar to 36.3 Ma and 26.9-26.2 Ma when the Antarctic-dominant assemblages decreased correspond to warming events in late Eocene and the late Oligocene warming, respectively. Thus, faunal changes in radiolarians can be used to monitor paleoceanographic change in the Southern Ocean and migration of the high-latitude water mass boundary during the Eocene-Oligocene interval.</t>
  </si>
  <si>
    <t>[Nishi, Hiroshi] Hokkaido Univ, Grad Sch Sci, Dept Earth &amp; Planetary Sci, Sapporo, Hokkaido 0600810, Japan</t>
  </si>
  <si>
    <t>Funakawa, S (corresponding author), Nishi Akada 273-2, Nasushiobara, Tochigi 3292744, Japan.</t>
  </si>
  <si>
    <t>funakawa@msg.biglobe.ne.jp; hnishi@ep.sci.hokudai.ac.jp</t>
  </si>
  <si>
    <t>MICRO PRESS</t>
  </si>
  <si>
    <t>FLUSHING</t>
  </si>
  <si>
    <t>6530 KISSENA BLVD, FLUSHING, NY 11367 USA</t>
  </si>
  <si>
    <t>0026-2803</t>
  </si>
  <si>
    <t>1937-2795</t>
  </si>
  <si>
    <t>Micropaleontology</t>
  </si>
  <si>
    <t>304KG</t>
  </si>
  <si>
    <t>WOS:000256107800003</t>
  </si>
  <si>
    <t>Lazarus, DB; Hollis, CJ; Apel, M</t>
  </si>
  <si>
    <t>Lazarus, D. B.; Hollis, C. J.; Apel, M.</t>
  </si>
  <si>
    <t>Patterns of opal and radiolarian change in the Antarctic mid-Paleogene: clues to the origin of the Southern Ocean</t>
  </si>
  <si>
    <t>EOCENE; CIRCULATION; GLACIATION; OLIGOCENE; HISTORY</t>
  </si>
  <si>
    <t>The timing of the origin of the Southern Ocean is important for studies of Antarctic biologic evolution and for understanding past climate change. The long standing theory that separation of Australia from Antarctica at the end of the Eocene allowed the development of a circumpolar ocean circulation, isolating the Antarctic continent and causing ice-sheet growth at the Eocene-Oligocene boundary, has recently been challenged by ODP Leg 189 drilling south of Australia. Based on these new cores it has been proposed that separation and Southern Ocean formation had already occurred within the late Eocene, approximately 2 my before the Antarctic became glaciated. This proposal however extrapolates data from a limited area to the history of a large circumpolar ocean region. To better determine Southern Ocean history we have compiled data from a large number of locations around Antarctica on opal accumulation and have analyzed circum-polar radiolarian faunas for development of endemism and evolutionary turnover. Our results show that opal deposition was widespread in the late Eocene Antarctic oceans with concentrations similar to that of the early Oligocene; substantial endemism was already present in late Eocene radiolarian faunas, and that most evolutionary turnover, in particular the origin of taxa characteristic of the early Oligocene, had already taken place within the late Eocene (ca 35 Ma). We conclude that there is a significant (ca 2 my) gap between a late Eocene Southern Ocean origin and later, Eocene-Oligocene boundary Antarctic glaciation.</t>
  </si>
  <si>
    <t>[Lazarus, D. B.; Apel, M.] Museum F Nat Kunde, D-10115 Berlin, Germany; [Hollis, C. J.] GNS Sci, Lower Hutt 5040, New Zealand</t>
  </si>
  <si>
    <t>GNS Science - New Zealand</t>
  </si>
  <si>
    <t>Lazarus, DB (corresponding author), Museum F Nat Kunde, Invalidenstr 43, D-10115 Berlin, Germany.</t>
  </si>
  <si>
    <t>david.lazarus@rz.hu-berlin.de</t>
  </si>
  <si>
    <t>Hollis, Christopher/D-3560-2011</t>
  </si>
  <si>
    <t>Hollis, Christopher/0000-0001-8840-9852</t>
  </si>
  <si>
    <t>WOS:000256107800005</t>
  </si>
  <si>
    <t>Rodger, A</t>
  </si>
  <si>
    <t>Kintner, PM; Coster, AJ; FullerRowell, T; Mannucci, AJ; Mendillo, M; Heelis, R</t>
  </si>
  <si>
    <t>Rodger, Alan</t>
  </si>
  <si>
    <t>The Mid-Latitude Trough-Revisited</t>
  </si>
  <si>
    <t>MIDLATITUDE IONOSPHERIC DYNAMICS AND DISTURBANCES</t>
  </si>
  <si>
    <t>Geophysical Monograph Book Series</t>
  </si>
  <si>
    <t>F-REGION; IONOSPHERE; MAGNETOSPHERE; CONVECTION; MODELS; FIELDS; RADIO; STORM; DRIFT</t>
  </si>
  <si>
    <t>The mid-latitude trough is a major feature of the F-region ionosphere that forms at the boundary between the mid-latitude and auroral ionospheres. The trough region has a major influence on the propagation of radio waves because of the large gradients in electron concentration, and the irregularities often embedded in the equatorward and poleward walls of the trough. The formation processes of the trough have been reasonably well understood for some time, and physically based models of the trough can now reproduce the climatology of the trough quite well. Prediction of the trough shape and dynamics for individual events, trough weather, is still under development. Recent scientific progress on major topics affecting trough morphology is described here, together with some suggestions on how the remaining uncertainties can be addressed.</t>
  </si>
  <si>
    <t>Rodger, A (corresponding author), British Antarctic Survey, Madingley Rd, Cambridge CB3 0ET, England.</t>
  </si>
  <si>
    <t>ASRO@bas.ac.uk</t>
  </si>
  <si>
    <t>0065-8448</t>
  </si>
  <si>
    <t>978-0-87590-446-7</t>
  </si>
  <si>
    <t>GEOPHYS MONOGR SER</t>
  </si>
  <si>
    <t>10.1029/181GM04</t>
  </si>
  <si>
    <t>10.1029/GM181</t>
  </si>
  <si>
    <t>BJY19</t>
  </si>
  <si>
    <t>WOS:000267401600003</t>
  </si>
  <si>
    <t>Edwards, HGM; Hargreaves, MD</t>
  </si>
  <si>
    <t>Boeyens, JCA; Ogilvie, JF</t>
  </si>
  <si>
    <t>Edwards, Howell G. M.; Hargreaves, Michael D.</t>
  </si>
  <si>
    <t>Raman spectroscopy - The biomolecular detection of life in extreme environments</t>
  </si>
  <si>
    <t>MODELS, MYSTERIES AND MAGIC OF MOLECULES</t>
  </si>
  <si>
    <t>5th International Indaba Workshop of the International-Union-of-Crystallography</t>
  </si>
  <si>
    <t>AUG 20-25, 2006</t>
  </si>
  <si>
    <t>Kruger Natl Pk, SOUTH AFRICA</t>
  </si>
  <si>
    <t>MARS; SULFATES; HISTORY; WATER</t>
  </si>
  <si>
    <t>The strategic adaptation of extremophiles (organisms which can survive where humans cannot) to survival in hostile terrestrial environments depends critically upon their synthesis of protectant biomolecules in geological niches to combat low wavelength radiation insolation, desiccation, and extremes of temperature and pH. Each year sees the discovery of novel geological scenarios in which organisms have successfully created a tenacious colonisation in limits of life habitats. Terrestrial analogues such as hot and cold deserts, volcanoes and geothermal springs provide models for the extraterrestrial study of the evolution of life in our Solar System - astrobiology. In particular, the current robotic exploration of the surface and subsurface of Mars, our neighbouring planet which has held ancient magical significance for our ancestors and is still shrouded in mysteries, is now indicative of the importance of a range of terrestrial scenarios which can be considered as Mars analogues. The next phase of Martian exploration must address the robotic search for extinct or extant life in the geological record, which is essential for the proposed human missions in the next two decades. A key factor in the armoury of remote analytical instrumentation that is now envisaged for inclusion on extended-range Mars landers and rovers is the identification of the chemical and biochemical protectants that might have been produced by extremophiles for survival in the Martian deserts. The molecular signatures evidenced from the Raman spectra of these key protectants will be fundamental for the detection of biological activity on Mars and the adoption of miniaturised Raman spectrometers for Martian exploration is now being seriously considered by NASA and ESA. In this context, the evaluation of prototype Raman spectroscopic instrumentation for the detection of molecules of relevance to a wide range of terrestrial extremophilic activity is now being addressed and forms the subject of this article. Exemplars from various geological scenarios in the Arctic and Antarctic cold deserts and from relevant hot desert habitats, such as volcanic geothermal springs and salt pan evaporites, will reinforce the tenet of this book - that the molecular studies of extremophilic models will be pivotal in the understanding of the magic and mysteries of evolution of life on Earth and the search for life on Mars.</t>
  </si>
  <si>
    <t>[Edwards, Howell G. M.; Hargreaves, Michael D.] Univ Bradford, Univ Analyt Ctr Chem &amp; Forens Sci, Sch Life Sci, Bradford BD7 1DP, W Yorkshire, England</t>
  </si>
  <si>
    <t>University of Bradford</t>
  </si>
  <si>
    <t>Edwards, HGM (corresponding author), Univ Bradford, Univ Analyt Ctr Chem &amp; Forens Sci, Sch Life Sci, Bradford BD7 1DP, W Yorkshire, England.</t>
  </si>
  <si>
    <t>h.g.m.edwards@bradford.ac.uk</t>
  </si>
  <si>
    <t>978-1-4020-5940-7</t>
  </si>
  <si>
    <t>10.1007/978-1-4020-5941-4_1</t>
  </si>
  <si>
    <t>Physics, Atomic, Molecular &amp; Chemical</t>
  </si>
  <si>
    <t>BHE46</t>
  </si>
  <si>
    <t>WOS:000252461100001</t>
  </si>
  <si>
    <t>Brothers, N; Davis, G</t>
  </si>
  <si>
    <t>Brothers, N.; Davis, G.</t>
  </si>
  <si>
    <t>Two new records of marine mussels (Mytilidae) from subantarctic Macquarie Island</t>
  </si>
  <si>
    <t>MOLLUSCAN RESEARCH</t>
  </si>
  <si>
    <t>oceanic dispersal; mollusca; bivalvia; Mytilus; Aulacomya</t>
  </si>
  <si>
    <t>Two new records of Mytilidae, Aulacomya ater ater (Iredale, 1915) and Mytilus cf. galloprovincialis (Lamarck, 1819), are reported for Macquarie Island. The former is considered to have been a recent arrival at the island, but is apparently not yet established there, which raises issues of management response and the need for a species inventory update to enable appropriate management of alien species in the future. The mode of arrival of Mytilus is uncertain but it is possibly indicative of an already established, but previously unreported, population.</t>
  </si>
  <si>
    <t>[Brothers, N.] Dept Primary Ind Water &amp; Environm, Hobart, Tas 7001, Australia; [Brothers, N.] Consultant Marine Ecol &amp; Technol, Wonga Beach, Qld 4873, Australia</t>
  </si>
  <si>
    <t>Brothers, N (corresponding author), Dept Primary Ind Water &amp; Environm, GPO Box 44, Hobart, Tas 7001, Australia.</t>
  </si>
  <si>
    <t>brothersbone@yahoo.com.au</t>
  </si>
  <si>
    <t>Nature Conservation Branch; Department of Primary Industries; Water and Environment, Tasmania</t>
  </si>
  <si>
    <t>The Australian Antarctic Division provided logistic support for work undertaken on the island by author Nigel Brothers who was at the time employed by the Nature Conservation Branch, Department of Primary Industries, Water and Environment, Tasmania. Peter Mooney, Parks and Wildlife Service General Manager Department of Tourism, Arts and the Environment Tasmania facilitated the compilation of this work. Dr Winston Ponder confirmed the identification of the specimens and provided an opinion on the findings. Liz Turner at the Tasmanian Museum and Art Gallery, Richard Willan of the Northern Territory Museum and Art Gallery, Dr. Patrick Lewis at IASOS University of Tasmania and Associate Professor Stephen Smith, University of New England N.S.W. also responded to advice sought regarding mollusc records at Macquarie Island. Thanks to Kerrin Jeffrey and Catherine Bone for assistance with manuscript preparation.</t>
  </si>
  <si>
    <t>MAGNOLIA PRESS</t>
  </si>
  <si>
    <t>AUCKLAND</t>
  </si>
  <si>
    <t>PO BOX 41-383, AUCKLAND, 1030, NEW ZEALAND</t>
  </si>
  <si>
    <t>1323-5818</t>
  </si>
  <si>
    <t>MOLLUSCAN RES</t>
  </si>
  <si>
    <t>Molluscan Res.</t>
  </si>
  <si>
    <t>337HD</t>
  </si>
  <si>
    <t>WOS:000258425200007</t>
  </si>
  <si>
    <t>Steinhoff, DF; Bromwich, DH; Lambertson, M; Knuth, SL; Lazzara, MA</t>
  </si>
  <si>
    <t>Steinhoff, Daniel F.; Bromwich, David H.; Lambertson, Michelle; Knuth, Shelley L.; Lazzara, Matthew A.</t>
  </si>
  <si>
    <t>A dynamical investigation of the May 2004 McMurdo Antarctica severe wind event using AMPS</t>
  </si>
  <si>
    <t>MONTHLY WEATHER REVIEW</t>
  </si>
  <si>
    <t>MESOSCALE-PREDICTION-SYSTEM; AMPLITUDE MOUNTAIN WAVES; POLAR MM5 SIMULATIONS; 3 SPATIAL DIMENSIONS; ROSS ICE SHELF; ATMOSPHERIC CIRCULATION; DOWNSLOPE WINDSTORMS; ISLAND; FLOW; STABILITY</t>
  </si>
  <si>
    <t>On 15-16 May 2004 a severe windstorm struck McMurdo, Antarctica. The Antarctic Mesoscale Prediction System (AMPS) is used, along with available observations, to analyze the storm. A synoptic-scale cyclone weakens as it propagates across the Ross Ice Shelf toward McMurdo. Flow associated with the cyclone initiates a barrier jet along the Transantarctic Mountains. Forcing terms from the horizontal equations of motion are computed in the barrier wind to show that the local time tendency and momentum advection terms are key components of the force balance. The barrier jet interacts with a preexisting near-surface radiation inversion over the Ross Ice Shelf to set up conditions favorable for the development of large-amplitude mountain waves, leading to a downslope windstorm in the Ross Island area. Hydraulic theory can explain the structure of the downslope windstorms, with amplification of the mountain waves possibly caused by wave-breaking events. The underestimation of AMPS wind speed at McMurdo is caused by the misplacement of a hydraulic jump downstream of the clownslope windstorms. The dynamics associated with the cyclone, barrier jet, and downslope windstorms are analyzed to determine the role of each in development of the severe winds.</t>
  </si>
  <si>
    <t>[Steinhoff, Daniel F.; Bromwich, David H.; Lambertson, Michelle] Ohio State Univ, Byrd Polar Res Ctr, Polar Meteorol Grp, Dept Geog, Columbus, OH 43210 USA; [Steinhoff, Daniel F.; Bromwich, David H.; Lambertson, Michelle] Ohio State Univ, Dept Geog, Atmospher Sci Program, Columbus, OH 43210 USA; [Knuth, Shelley L.; Lazzara, Matthew A.] Univ Wisconsin, Ctr Space Sci &amp; Engn, Antarctic Meteorol Res Ctr, Madison, WI USA</t>
  </si>
  <si>
    <t>University System of Ohio; Ohio State University; University System of Ohio; Ohio State University; University of Wisconsin System; University of Wisconsin Madison</t>
  </si>
  <si>
    <t>Steinhoff, DF (corresponding author), Ohio State Univ, Byrd Polar Res Ctr, Polar Meteorol Grp, Dept Geog, 1090 Carmack Rd, Columbus, OH 43210 USA.</t>
  </si>
  <si>
    <t>steinhoff@polarmet1.mps.ohio-state.edu</t>
  </si>
  <si>
    <t>Lazzara, Matthew/0000-0002-4343-498X; Knuth, Shelley/0000-0001-7249-4773; Steinhoff, Daniel/0000-0002-4233-8750</t>
  </si>
  <si>
    <t>0027-0644</t>
  </si>
  <si>
    <t>MON WEATHER REV</t>
  </si>
  <si>
    <t>Mon. Weather Rev.</t>
  </si>
  <si>
    <t>10.1175/2007MWR1999.1</t>
  </si>
  <si>
    <t>256OT</t>
  </si>
  <si>
    <t>WOS:000252740200002</t>
  </si>
  <si>
    <t>Bridge, PD; Spooner, BM; Beever, RE; Park, DC</t>
  </si>
  <si>
    <t>Bridge, Paul D.; Spooner, Brian M.; Beever, Ross E.; Park, D. -C.</t>
  </si>
  <si>
    <t>Taxonomy of the fungus commonly known as Stropharia aurantiaca, with new combinations in Leratiomyces</t>
  </si>
  <si>
    <t>MYCOTAXON</t>
  </si>
  <si>
    <t>LSU; stropharioid; woodchip; sequestrate</t>
  </si>
  <si>
    <t>RIBOSOMAL DNA</t>
  </si>
  <si>
    <t>The taxonomy and nomenclature of the fungus commonly referred to as Stropharia aurantiaca was investigated. Molecular analysis of the ribosomal RNA large subunit gene confirmed the exclusion of the species from Stropharia. The results from further molecular and morphological comparison with type species indicated that 'S. aurantiaca' is congeneric with a number of other taxa currently placed in Leratiomyces, Stropharia and Weraroa. These taxa are transferred to Leratiomyces and an emended diagnosis and brief discussion of this genus are provided.</t>
  </si>
  <si>
    <t>[Bridge, Paul D.] British Antarctic Survey, NERC, Cambridge CB3 0ET, England; [Spooner, Brian M.] Royal Bot Gardens, Mycol Sect, Richmond TW9 3AB, Surrey, England; [Beever, Ross E.; Park, D. -C.] Landcare Res, Auckland, New Zealand</t>
  </si>
  <si>
    <t>UK Research &amp; Innovation (UKRI); Natural Environment Research Council (NERC); NERC British Antarctic Survey; Royal Botanic Gardens, Kew; Landcare Research - New Zealand</t>
  </si>
  <si>
    <t>Bridge, PD (corresponding author), British Antarctic Survey, NERC, High Cross,Madingley Rd, Cambridge CB3 0ET, England.</t>
  </si>
  <si>
    <t>pdbr@bas.ac.uk</t>
  </si>
  <si>
    <t>Park, Duckchul/B-4753-2010</t>
  </si>
  <si>
    <t>MYCOTAXON LTD</t>
  </si>
  <si>
    <t>ITHACA</t>
  </si>
  <si>
    <t>PO BOX 264, ITHACA, NY 14851-0264 USA</t>
  </si>
  <si>
    <t>0093-4666</t>
  </si>
  <si>
    <t>Mycotaxon</t>
  </si>
  <si>
    <t>Mycology</t>
  </si>
  <si>
    <t>280TV</t>
  </si>
  <si>
    <t>WOS:000254450100012</t>
  </si>
  <si>
    <t>Wang, BB; Tian, G; Sun, B</t>
  </si>
  <si>
    <t>Wang, J; Xia, JH; Chen, C</t>
  </si>
  <si>
    <t>Wang, Bangbing; Tian, Gang; Sun, Bo</t>
  </si>
  <si>
    <t>The simulation of ice anisotropy feature based on 3-D FDTD method</t>
  </si>
  <si>
    <t>NEAR-SURFACE GEOPHYSICS AND HUMAN ACTIVITY</t>
  </si>
  <si>
    <t>3rd International Conference on Environmental and Engineering Geophysics</t>
  </si>
  <si>
    <t>JUN 15-20, 2008</t>
  </si>
  <si>
    <t>Wuhun, PEOPLES R CHINA</t>
  </si>
  <si>
    <t>anisotropy; FDTD; crystal-orientation-fabric (COF)</t>
  </si>
  <si>
    <t>The application of RES technology is the most important method for the study of inner structure on Antarctic ice sheet. But the study on the electro-magnetic response to the anisotropy ice is still in the early stages. This paper deduced the 3-D FDTD equations which was derived from Maxwell equation and adapted to permittivity anisotropy media. Then we simulated the radar response and spatio-temporal distributing feature. The results would develop and promote the research of inner structure on ice sheet by using multi-polarization radar.</t>
  </si>
  <si>
    <t>[Wang, Bangbing; Tian, Gang] Zhejiang Univ, Dept Earth Sci, Hangzhou 310003, Zhejiang, Peoples R China</t>
  </si>
  <si>
    <t>Zhejiang University</t>
  </si>
  <si>
    <t>Wang, BB (corresponding author), Zhejiang Univ, Dept Earth Sci, Hangzhou 310003, Zhejiang, Peoples R China.</t>
  </si>
  <si>
    <t>SCIENCE PRESS BEIJING</t>
  </si>
  <si>
    <t>16 DONGHUANGCHENGGEN NORTH ST, BEIJING 100707, PEOPLES R CHINA</t>
  </si>
  <si>
    <t>978-1-933100-31-9</t>
  </si>
  <si>
    <t>Engineering, Environmental; Environmental Sciences; Geology; Geosciences, Multidisciplinary</t>
  </si>
  <si>
    <t>Engineering; Environmental Sciences &amp; Ecology; Geology</t>
  </si>
  <si>
    <t>BIB10</t>
  </si>
  <si>
    <t>WOS:000258061000095</t>
  </si>
  <si>
    <t>Clarke, LJ; Robinson, SA</t>
  </si>
  <si>
    <t>Clarke, Laurence J.; Robinson, Sharon A.</t>
  </si>
  <si>
    <t>Cell wall-bound ultraviolet-screening compounds explain the high ultraviolet tolerance of the Antarctic moss, Ceratodon purpureus</t>
  </si>
  <si>
    <t>NEW PHYTOLOGIST</t>
  </si>
  <si>
    <t>Antarctic; Bryum pseudotriquetrum; cell wall; Ceratodon purpureus; confocal microscopy; ozone depletion; Schistidium antarctici (Grimmia antarctici); UV-screening compounds</t>
  </si>
  <si>
    <t>B RADIATION; DESCHAMPSIA-ANTARCTICA; TISSUE LOCALIZATION; PIGMENT COMPOSITION; OZONE DEPLETION; FLAVONOIDS; PHENOLICS</t>
  </si>
  <si>
    <t>Studies of ultraviolet (UV) light-induced DNA damage in three Antarctic moss species have shown Ceratodon purpureus to be the most UV tolerant, despite containing lower concentrations of methanol-soluble UV-screening compounds than the co-occurring Bryum pseudotriquetrum. In this study, alkali extraction of cell wall-bound phenolics, combined with methanol extraction of soluble phenolics, was used to determine whether cell wall-bound UV screens explain the greater UV tolerance of C. purpureus. The combined pool of UV screens was similar in B. pseudotriquetrum and C. purpureus, but whilst B. pseudotriquetrum had almost equal concentrations of MeOH-soluble and alkali-extractable cell wall-bound UV-screening compounds, in C. purpureus the concentration of cell wall-bound screening compounds was six times higher than the concentration of MeOH-soluble UV screens. The Antarctic endemic Schistidium antarctici possessed half the combined pool of UV screens of the other species but, as in C. purpureus, these were predominantly cell wall bound. Confocal microscopy confirmed the localization of UV screens in each species. Greater investment in cell wall-bound UV screens offers C. purpureus a more spatially uniform, and potentially more effective, UV screen. Schistidium antarctici has the lowest UV-screening potential, indicating that this species may be disadvantaged under continuing springtime ozone depletion. Cell wall compounds have not previously been quantified in bryophytes but may be an important component of the UV defences of lower plants.</t>
  </si>
  <si>
    <t>[Clarke, Laurence J.; Robinson, Sharon A.] Univ Wollongong, Inst Conservat Biol, Wollongong, NSW 2522, Australia</t>
  </si>
  <si>
    <t>University of Wollongong</t>
  </si>
  <si>
    <t>Clarke, LJ (corresponding author), Univ Wollongong, Inst Conservat Biol, Wollongong, NSW 2522, Australia.</t>
  </si>
  <si>
    <t>ljc03@uow.edu.au</t>
  </si>
  <si>
    <t>Clarke, Laurence/N-3579-2017; Robinson, Sharon/B-2683-2008</t>
  </si>
  <si>
    <t>Clarke, Laurence/0000-0002-0844-4453; Robinson, Sharon/0000-0002-7130-9617</t>
  </si>
  <si>
    <t>0028-646X</t>
  </si>
  <si>
    <t>1469-8137</t>
  </si>
  <si>
    <t>NEW PHYTOL</t>
  </si>
  <si>
    <t>New Phytol.</t>
  </si>
  <si>
    <t>10.1111/j.1469-8137.2008.02499.x</t>
  </si>
  <si>
    <t>Plant Sciences</t>
  </si>
  <si>
    <t>327CA</t>
  </si>
  <si>
    <t>WOS:000257706000023</t>
  </si>
  <si>
    <t>Briguglio, R</t>
  </si>
  <si>
    <t>Guandalini, R; Palmerini, S; Busso, M</t>
  </si>
  <si>
    <t>Briguglio, Runa</t>
  </si>
  <si>
    <t>AGB star variability observed from Antarctica</t>
  </si>
  <si>
    <t>NINTH TORINO WORKSHOP ON EVOLUTION AND NUCLEOSYNTHESIS IN AGB STARS AND THE SECOND PERUGIA WORKSHOP ON NUCLEAR ASTROPHYSICS</t>
  </si>
  <si>
    <t>9th Torino Workshop on Evolution and Nucleosynthesis in AGB Stars/2nd Perugia Workshop on Nuclear Astrophysics</t>
  </si>
  <si>
    <t>OCT 21-27, 2007</t>
  </si>
  <si>
    <t>AGB stars : long period variables; photometry; observational techniques</t>
  </si>
  <si>
    <t>DOME-C; TELESCOPE</t>
  </si>
  <si>
    <t>We present here a short account of the first observations done at the Italo-French base of Dome C, Antarctica, in the field of Mira variability. The observations aimed at improving our knowledge of the variability period of some important Long Period Variables (LPV), to be used in Period-Luminosity criteria for determining in a reliable way the absolute magnitudes and hence the distances of AGB stars. The observations were taken during the 2007 winter campaign, using the small-IRAIT telescope, a 25 cm Cassegrain instrument capable of multiband photometry. The telescope was equipped with a reliable remote control system, which allowed us to get very high duty-cycle observations (the highest efficient was obtained in July 2007, with more than 98% of on-source time, over 9 solar days during the long polar night). The experiments done with small IRAIT will be precious as a pathfinder, for defining the observational strategies of the larger IRAIT (International Robotic Antarctic Infrared Telescope [1]), an 80-cm aperture telescope, working mainly in IR, that will be installed in Dome C next year.</t>
  </si>
  <si>
    <t>Univ Roma La Sapienza, Rome, Italy</t>
  </si>
  <si>
    <t>Sapienza University Rome</t>
  </si>
  <si>
    <t>Briguglio, R (corresponding author), Univ Roma La Sapienza, Rome, Italy.</t>
  </si>
  <si>
    <t>AMER INST PHYSICS</t>
  </si>
  <si>
    <t>MELVILLE</t>
  </si>
  <si>
    <t>2 HUNTINGTON QUADRANGLE, STE 1NO1, MELVILLE, NY 11747-4501 USA</t>
  </si>
  <si>
    <t>978-0-7354-0520-2</t>
  </si>
  <si>
    <t>BHP48</t>
  </si>
  <si>
    <t>WOS:000255181400025</t>
  </si>
  <si>
    <t>Cochlan, WP</t>
  </si>
  <si>
    <t>Capone, DG; Bronk, DA; Mulholland, MR; Carpenter, EJ</t>
  </si>
  <si>
    <t>Cochlan, William P.</t>
  </si>
  <si>
    <t>NITROGEN UPTAKE IN THE SOUTHERN OCEAN</t>
  </si>
  <si>
    <t>NITROGEN IN THE MARINE ENVIRONMENT, 2ND EDITION</t>
  </si>
  <si>
    <t>SUB-ARCTIC PACIFIC; IRON ENRICHMENT EXPERIMENTS; MARGINAL ICE-ZONE; PHYTOPLANKTON COMMUNITY STRUCTURE; WEDDELL CONFLUENCE AREA; NITRATE UPTAKE KINETICS; MARINE-PHYTOPLANKTON; INORGANIC NITROGEN; ROSS-SEA; ANTARCTIC PHYTOPLANKTON</t>
  </si>
  <si>
    <t>San Francisco State Univ, Romberg Tiburon Ctr Environm Studies, Tiburon, CA USA</t>
  </si>
  <si>
    <t>California State University System; San Francisco State University</t>
  </si>
  <si>
    <t>Cochlan, WP (corresponding author), San Francisco State Univ, Romberg Tiburon Ctr Environm Studies, Tiburon, CA USA.</t>
  </si>
  <si>
    <t>978-0-12-372522-6</t>
  </si>
  <si>
    <t>10.1016/B978-0-12-372522-6.00012-8</t>
  </si>
  <si>
    <t>Environmental Sciences; Oceanography</t>
  </si>
  <si>
    <t>Environmental Sciences &amp; Ecology; Oceanography</t>
  </si>
  <si>
    <t>BCO78</t>
  </si>
  <si>
    <t>WOS:000310915600014</t>
  </si>
  <si>
    <t>Doolittle, DF; Li, WKW; Wood, AM</t>
  </si>
  <si>
    <t>Doolittle, Daniel F.; Li, William K. W.; Wood, A. Michelle</t>
  </si>
  <si>
    <t>Wintertime abundance of picoplankton in the Atlantic sector of the Southern Ocean</t>
  </si>
  <si>
    <t>NOVA HEDWIGIA</t>
  </si>
  <si>
    <t>picophytoplankton; picocyanobacteria; Synechococcus; Prochlorococcus; picobiliphytes; picoeukaryotes; microbial loop; Antarctic Circumpolar Current; polar biology</t>
  </si>
  <si>
    <t>SIZE-FRACTIONATED PHYTOPLANKTON; AUSTRAL SUMMER; COMMUNITY STRUCTURE; BIOMASS; CARBON; FRONTS; PROCHLOROCOCCUS; DIATOMS; GROWTH; BASIN</t>
  </si>
  <si>
    <t>Data on the distribution of picophytoplankton from the Southern Ocean are relatively scant and primarily collected during the austral spring and summer. During the ICEFISH (International Collaborative Expedition to collect and study Fish Indigenous to Sub-Antarctic Habitats) expedition conducted in the austral winter, 2004, we examined the abundance of picophytoplankton in surface waters along a 366 km W-E transect at similar to 55 degrees S latitude between the South Sandwich Islands and Bouvetoya Island, a 2780 kin S-N transect from Bouvetoya Island to Tristan da Cunha Island, and a 2050 kin W-E transect extending east from Tristan da Cunha toward Capetown, South Africa. The cruise track traversed a region of the Antarctic Circumpolar Current (ACC) that included four major frontal features: the Southern Antarctic Circumpolar Current Front (SACCF), the Antarctic Polar Front (APF), the Subantarctic Front (SAF), and the Subtropical Front (STF). In waters less than 1 degrees C, and south of the SACCF, picoeukaryotes represented more than 99% of the picophytoplankton in the community. Phycoerythrin-containing picoplankton 2 mu m in equivalent spherical diameter (ESD) were observed along our S-N transect once water temperatures exceeded 1.3 degrees C, placing their southernmost limit of distribution close to the Antarctic Polar Front. Substantial populations of these organisms, which had a flow cytometric signature comparable to those of PE-containing marine Synechococcus and other PE-containing picocyanobacteria, were seen in all samples collected in water &gt;4 degrees C and north of the APF. Thus, both PE-containing picoplankton &lt;2 mu m in equivalent spherical diameter (ESD) and picoeukaryotes appear to be part of the phytoplankton community in Antarctic polar waters year-round. In contrast, Prochlorococcus did not appear in water &lt;10 degrees C or south of the southern expression of the STF, as expected from other reports. A strong linear relationship exists between log phytoplankton abundance and temperature, which is only observed when all functional groups are pooled. Picoplankton distributions show marked changes at frontal boundaries and support the hypothesis that water mass related phenomena, and not just temperature alone, determine phytoplankton community structure in the Southern Ocean.</t>
  </si>
  <si>
    <t>[Wood, A. Michelle] Univ Oregon, Dept Biol, Ctr Ecol &amp; Evolutionary Biol, Eugene, OR 97405 USA; [Doolittle, Daniel F.] Univ Miami, Rosenstiel Sch Marine &amp; Atmospher Sci, Miami, FL 33149 USA; [Doolittle, Daniel F.] Kachemak Bay Natl Estuarine Res Reserve, Homer, AK 99603 USA; [Li, William K. W.] Bedford Inst Oceanog, Dartmouth, NS B2Y 4A2, Canada</t>
  </si>
  <si>
    <t>University of Oregon; University of Miami; Bedford Institute of Oceanography</t>
  </si>
  <si>
    <t>Wood, AM (corresponding author), Univ Oregon, Dept Biol, Ctr Ecol &amp; Evolutionary Biol, Eugene, OR 97405 USA.</t>
  </si>
  <si>
    <t>miche@uoregon.edu</t>
  </si>
  <si>
    <t>GEBRUDER BORNTRAEGER</t>
  </si>
  <si>
    <t>JOHANNESSTR 3A, D-70176 STUTTGART, GERMANY</t>
  </si>
  <si>
    <t>0029-5035</t>
  </si>
  <si>
    <t>2363-7188</t>
  </si>
  <si>
    <t>Nova Hedwigia</t>
  </si>
  <si>
    <t>276TO</t>
  </si>
  <si>
    <t>WOS:000254166200015</t>
  </si>
  <si>
    <t>Ferrario, ME; Almandoz, G; Licea, S; Garibotti, I</t>
  </si>
  <si>
    <t>Ferrario, Martha E.; Almandoz, Gaston; Licea, Sergio; Garibotti, Irene</t>
  </si>
  <si>
    <t>Species of Coscinodiscus (Bacillariophyta) from the Gulf of Mexico, Argentina and Antarctic waters:: morphology and distribution</t>
  </si>
  <si>
    <t>Coscinodiscus; diatom; morphology; distribution</t>
  </si>
  <si>
    <t>SCANNING ELECTRON-MICROSCOPY; GENUS COSCINODISCUS; WAILESII GRAN; DIATOM; LIGHT; TRANSMISSION; EHRENBERG; ATLANTIC; OCEAN; ANGST</t>
  </si>
  <si>
    <t>In order to study the morphology and distribution of Coscinodiscus species, a large number of surface water samples from the Argentine continental shelf and Antarctica and fewer from the Gulf of Mexico were examined. The greatest number of samples was obtained during oceanographic cruises aboard the Argentine icebreaker A.R.A. Almirante Irizar and A.R.A. Puerto Deseado, within the framework of ARGAU and GEF-Patagonia projects, respectively. Nine species were described by means of light and electron microscopy. Information on their characteristics has been supplemented with environmental data (temperature and salinity). The nine species analyzed, C. alboranii, C asteromphalus, C. bouvet, C. granii, C. janischii, C. jonesianus, C oculoides, C. radiants and C. wailesii, present valves with loculate areolae, except C alboranii and C. janischii, which have both loculate and poroid areolae in the same valve. The pattern of microlabiate processes, in all species documented, have just one ring of processes on the valve margin, whereas C. wailesii presents two rings. Another morphological difference among the species is the external projection of the macrolabiate processes (less evident in the microlabiate), which characterizes C. jonesianus. In addition, we recorded girdle details of C janischii, which has a wide valvocopula and two copulae, which, as far as we can ascertain, have not been included in previous investigations. Most of the Coscinodiscus species discussed in this study have been reported in wide geographic distribution. C. bouvet and C. oculoides have been found only in Antarctic waters and C. alboranii in warm water regions. Of the nine species studied here, only C. wailesii has been found worldwide as an invasive species that produces harmful events.</t>
  </si>
  <si>
    <t>[Ferrario, Martha E.; Almandoz, Gaston] Consejo Nacl Invest Cient &amp; Tecn, Fac Ciencias Nat &amp; Museo, Dept Cient Ficol, RA-1900 La Plata, Argentina; [Licea, Sergio] Univ Nacl Autonoma Mexico, Inst Ciencias Mar &amp; Limnol, Mexico City 04510, DF, Mexico; [Garibotti, Irene] Consejo Nacl Invest Cient &amp; Tecn, Cricyt, Inst Argentino Nivol Glaciol &amp; Ciencias Ambiental, RA-5500 Mendoza, Argentina</t>
  </si>
  <si>
    <t>Consejo Nacional de Investigaciones Cientificas y Tecnicas (CONICET); National University of La Plata; Museo La Plata; Universidad Nacional Autonoma de Mexico; Consejo Nacional de Investigaciones Cientificas y Tecnicas (CONICET)</t>
  </si>
  <si>
    <t>Ferrario, ME (corresponding author), Consejo Nacl Invest Cient &amp; Tecn, Fac Ciencias Nat &amp; Museo, Dept Cient Ficol, Paseo Bosque S-N, RA-1900 La Plata, Argentina.</t>
  </si>
  <si>
    <t>meferra@museo.fcnym.unlp.edu.ar</t>
  </si>
  <si>
    <t>WOS:000254166200018</t>
  </si>
  <si>
    <t>Lundholm, N; Hasle, GR</t>
  </si>
  <si>
    <t>Lundholm, Nina; Hasle, Grethe Rytter</t>
  </si>
  <si>
    <t>Are Fragilariopsis cylindrus and Fragilariopsis nana bipolar diatoms?: Morphological and molecular analyses of two sympatric species</t>
  </si>
  <si>
    <t>bipolar; diatom; Fragilariopsis cylindrus; Fragilariopsis nana; genetic diversity; ITS2; morphology; intraspecific variation; sympatry; polar distribution</t>
  </si>
  <si>
    <t>ICE; MARINE; COMMON; BACILLARIOPHYCEAE; PHYLOGENY; DYNAMICS; ALGAE</t>
  </si>
  <si>
    <t>The ecologically important cold-water diatom species Fragilariopsis cylindrus sensu lato was studied using morphological and molecular data in order to examine whether it is a bipolar species as has been hitherto reported. Six strains from Arctic and Antarctic regions as well as a number of field samples were examined. The morphological studies revealed the presence of two separate species: F cylindrus and F nana within the concept of Fragilariopsis cylindrus. Fragilariopsis nana differs from E cylindrus in having a smaller valve width, a higher poroid density in the striae and a tendency to have more rows of poroids. Both species are found in polar and subpolar regions in the Arctic and in the Antarctic and in open water as well as in ice. No morphological differences were detected between the species from the two hemispheres and we therefore cannot reject that the two species are actually bipolar. Unfortunately the Cultures used in the phylogenetic analyses appeared to be Arctic E cylindrus and Antarctic E nana. The phylogenetic analyses supported the morphological studies but could not be used to support or reject the hypothesis about bipolarity.</t>
  </si>
  <si>
    <t>[Lundholm, Nina] Univ Copenhagen, Inst Biol, DK-1353 Copenhagen K, Denmark; [Hasle, Grethe Rytter] Univ Oslo, Dept Biol, NO-0316 Blindern, Norway</t>
  </si>
  <si>
    <t>University of Copenhagen; University of Oslo</t>
  </si>
  <si>
    <t>Lundholm, N (corresponding author), Univ Copenhagen, Inst Biol, Oster Farimagsgade 2D, DK-1353 Copenhagen K, Denmark.</t>
  </si>
  <si>
    <t>nlundholm@bi.ku.dk</t>
  </si>
  <si>
    <t>Lundholm, Nina/AAY-6249-2020</t>
  </si>
  <si>
    <t>Lundholm, Nina/0000-0002-2035-1997</t>
  </si>
  <si>
    <t>WOS:000254166200020</t>
  </si>
  <si>
    <t>Xu, XW</t>
  </si>
  <si>
    <t>Xu, X. W.</t>
  </si>
  <si>
    <t>IceCube Collaboration</t>
  </si>
  <si>
    <t>Results achieved with AMANDA</t>
  </si>
  <si>
    <t>NUCLEAR PHYSICS B-PROCEEDINGS SUPPLEMENTS</t>
  </si>
  <si>
    <t>14th International Symposium on Very High Energy Cosmic Ray Interactions</t>
  </si>
  <si>
    <t>AUG 15-22, 2006</t>
  </si>
  <si>
    <t>Weihai, PEOPLES R CHINA</t>
  </si>
  <si>
    <t>The Antarctic Muon And Neutrino Detector Array (AMANDA) designed to detect high energy neutrinos was completed in 2000 and has been operating successfully since then. Extensive searches for neutrinos from steady and transient cosmic point sources, for neutralino dark matter, relativistic magnetic monopoles, and for a diffuse neutrino flux have been performed. In this paper, we will discuss the main results achieved with the AMANDA detector.</t>
  </si>
  <si>
    <t>[Xu, X. W.; IceCube Collaboration] Univ Wisconsin, Madison, WI 53706 USA</t>
  </si>
  <si>
    <t>University of Wisconsin System; University of Wisconsin Madison</t>
  </si>
  <si>
    <t>Xu, XW (corresponding author), Univ Wisconsin, Madison, WI 53706 USA.</t>
  </si>
  <si>
    <t>Sánchez, Juan Antonio Aguilar/H-4467-2015</t>
  </si>
  <si>
    <t>0920-5632</t>
  </si>
  <si>
    <t>NUCL PHYS B-PROC SUP</t>
  </si>
  <si>
    <t>Nucl. Phys. B-Proc. Suppl.</t>
  </si>
  <si>
    <t>10.1016/j.nuclphysbps.2007.11.039</t>
  </si>
  <si>
    <t>Physics, Particles &amp; Fields</t>
  </si>
  <si>
    <t>259YC</t>
  </si>
  <si>
    <t>WOS:000252975800077</t>
  </si>
  <si>
    <t>Briguglio, R; Tosti, G; Busso, M; Bagaglia, M; Nucciarelli, G; Mancini, A; Castellini, S; Strassmeier, KG; Straniero, O; Sabbatini, L</t>
  </si>
  <si>
    <t>Brissenden, RJ; Silva, DR</t>
  </si>
  <si>
    <t>Briguglio, R.; Tosti, G.; Busso, M.; Bagaglia, M.; Nucciarelli, G.; Mancini, A.; Castellini, S.; Strassmeier, K. G.; Straniero, O.; Sabbatini, L.</t>
  </si>
  <si>
    <t>Small IRAIT Telescope operations during the polar night</t>
  </si>
  <si>
    <t>OBSERVATORY OPERATIONS: STRATEGIES, PROCESSES, AND SYSTEMS II</t>
  </si>
  <si>
    <t>Conference on Observatory Operations - Strategies, Processes and Systems II</t>
  </si>
  <si>
    <t>JUN 24-26, 2008</t>
  </si>
  <si>
    <t>OPTICAL SKY BRIGHTNESS; DOME-C; ANTARCTIC PLATEAU</t>
  </si>
  <si>
    <t>Small IRAIT is a 25 cm Cassegrain telescope, installed at Dome C, on the high Antarctic plateau, during 2007 winter campaign. It performed a first test of multiband (UBVRI) photometry from Dome C., taking advantage of its remote control system that allowed a 10 days, 98% duty cycle run on a, chromospherically active, spotted star in Cen (V841); it also tested multiband acquisition on open clusters, AGB stars, blazars (PKS2155), eclipsing binaries. In situ optimization made the telescope able to operate in the cold, harsh Antarctic environment.</t>
  </si>
  <si>
    <t>[Briguglio, R.] Univ Roma La Sapienza, Rome, Italy; [Tosti, G.; Busso, M.; Bagaglia, M.; Nucciarelli, G.; Mancini, A.; Castellini, S.] Univ Perugia, I-06100 Perugia, Italy; [Strassmeier, K. G.] Astrophys Inst, D-14482 Potsdam, Germany; [Straniero, O.] Teramo Observ, I-64100 Teramo, Italy; [Sabbatini, L.] Univ Roma 3, Dept Phys, Rome, Italy</t>
  </si>
  <si>
    <t>Sapienza University Rome; University of Perugia; Roma Tre University</t>
  </si>
  <si>
    <t>Tosti, Gino/0000-0002-0839-4126; Busso, Maurizio Maria/0000-0001-8944-5820; Straniero, Oscar/0000-0002-5514-6125; Briguglio, Runa/0000-0002-0495-0543</t>
  </si>
  <si>
    <t>978-0-8194-7226-7</t>
  </si>
  <si>
    <t>70160H</t>
  </si>
  <si>
    <t>10.1117/12.791908</t>
  </si>
  <si>
    <t>BIJ00</t>
  </si>
  <si>
    <t>WOS:000259924600015</t>
  </si>
  <si>
    <t>McGrath, A; Saunders, W; Gillingham, P; Ward, D; Storey, J; Lawrence, J; Haynes, R</t>
  </si>
  <si>
    <t>McGrath, Andrew; Saunders, Will; Gillingham, Peter; Ward, David; Storey, John; Lawrence, Jon; Haynes, Roger</t>
  </si>
  <si>
    <t>Running PILOT: operational challenges and plans for an Antarctic Observatory</t>
  </si>
  <si>
    <t>telescope operations; Antarctica; observatory logistics</t>
  </si>
  <si>
    <t>LARGE OPTICAL TELESCOPE; DOME-C; PATHFINDER; PLATEAU</t>
  </si>
  <si>
    <t>We highlight the operational challenges and planned solutions faced by an optical observatory taking advantage of the superior astronomical observing potential of the Antarctic plateau. Unique operational aspects of an Antarctic optical observatory arise from its remoteness, the polar environment and the unusual observing cycle afforded by long continuous periods of darkness and daylight. PILOT is planned to be run with remote observing via satellite communications, and must overcome both limited physical access and data transfer. Commissioning and lifetime operations must deal with extended logistics chains, continual wintertime darkness, extremely low temperatures and frost accumulation amidst other challenging issues considered in the PILOT operational plan, and discussed in this presentation.</t>
  </si>
  <si>
    <t>[McGrath, Andrew; Saunders, Will; Gillingham, Peter; Ward, David; Haynes, Roger] Anglo Australian Observ, POB 196, Epping, NSW 1710, Australia; [Storey, John; Lawrence, Jon] Univ New S Wales, Sch Phys, Sydney, NSW 2052, Australia</t>
  </si>
  <si>
    <t>McGrath, A (corresponding author), Anglo Australian Observ, POB 196, Epping, NSW 1710, Australia.</t>
  </si>
  <si>
    <t>ajm@aao.gov.au</t>
  </si>
  <si>
    <t>70160G</t>
  </si>
  <si>
    <t>10.1117/12.788825</t>
  </si>
  <si>
    <t>WOS:000259924600014</t>
  </si>
  <si>
    <t>Price, MR; Heywood, KJ; Nicholls, KW</t>
  </si>
  <si>
    <t>Price, M. R.; Heywood, K. J.; Nicholls, K. W.</t>
  </si>
  <si>
    <t>Ice-shelf - ocean interactions at Fimbul Ice Shelf, Antarctica from oxygen isotope ratio measurements</t>
  </si>
  <si>
    <t>OCEAN SCIENCE</t>
  </si>
  <si>
    <t>DRONNING-MAUD-LAND; WATER FORMATION; SEA-ICE; WEDDELL; CIRCULATION; VARIABILITY; TRANSPORT; SALINITY; MASSES; MODEL</t>
  </si>
  <si>
    <t>Melt water from the floating ice shelves at the margins of the southeastern Weddell Sea makes a significant contribution to the fresh water budget of the region. In February 2005 a multi-institution team conducted an oceanographic campaign at Fimbul Ice Shelf on the Greenwich Meridian as part of the Autosub Under Ice programme. This included a mission of the autonomous submarine Autosub 25 km into the cavity beneath Fimbul Ice Shelf, and a number of ship-based hydrographic sections on the continental shelf and adjacent to the ice shelf front. The measurements reveal two significant sources of glacial melt water at Fimbul Ice Shelf: the main cavity under the ice shelf and an ice tongue, Trolltunga, that protrudes from the main ice front and out over the continental slope into deep water. Glacial melt water is concentrated in a 200 m thick Ice Shelf Water (ISW) layer below the base of the ice shelf at 150-200 m, with a maximum glacial melt concentration of up to 1.16%. Some glacial melt is found throughout the water column, and much of this is from sources other than Fimbul Ice Shelf. However, at least 0.2% of the water in the ISW layer cannot be accounted for by other processes and must have been contributed by the ice shelf. Just downstream of Fimbul Ice Shelf we observe locally created ISW mixing out across the continental slope. The ISW formed here is much less dense than that formed in the southwest Weddell Sea, and will ultimately contribute a freshening ( and reduction in delta O-18) to the upper 100-150 m of the water column in the southeast Weddell Sea.</t>
  </si>
  <si>
    <t>[Price, M. R.; Heywood, K. J.] Univ E Anglia, Sch Environm Sci, Norwich NR4 7TJ, Norfolk, England; [Nicholls, K. W.] British Antarctic Survey, Cambridge CB3 0ET, England</t>
  </si>
  <si>
    <t>University of East Anglia; UK Research &amp; Innovation (UKRI); Natural Environment Research Council (NERC); NERC British Antarctic Survey</t>
  </si>
  <si>
    <t>Heywood, KJ (corresponding author), Univ E Anglia, Sch Environm Sci, Norwich NR4 7TJ, Norfolk, England.</t>
  </si>
  <si>
    <t>k.heywood@uea.ac.uk</t>
  </si>
  <si>
    <t>N, Keith/E-9126-2010; Heywood, Karen/L-1757-2016</t>
  </si>
  <si>
    <t>Heywood, Karen/0000-0001-9859-0026</t>
  </si>
  <si>
    <t>1812-0784</t>
  </si>
  <si>
    <t>OCEAN SCI</t>
  </si>
  <si>
    <t>Ocean Sci.</t>
  </si>
  <si>
    <t>10.5194/os-4-89-2008</t>
  </si>
  <si>
    <t>Meteorology &amp; Atmospheric Sciences; Oceanography</t>
  </si>
  <si>
    <t>288UQ</t>
  </si>
  <si>
    <t>Green Accepted, gold, Green Submitted</t>
  </si>
  <si>
    <t>WOS:000255011700001</t>
  </si>
  <si>
    <t>Zhang, H; Hosoi-Tanabe, S; Nagata, S; Ban, S; Imura, S</t>
  </si>
  <si>
    <t>Zhang, Hongyan; Hosoi-Tanabe, Shoko; Nagata, Shinichi; Ban, Syuhei; Imura, Satoshi</t>
  </si>
  <si>
    <t>Cultivation and characterization of microorganisms in Antarctic lakes</t>
  </si>
  <si>
    <t>OCEANS 2008 - MTS/IEEE KOBE TECHNO-OCEAN, VOLS 1-3</t>
  </si>
  <si>
    <t>OCEANS-IEEE</t>
  </si>
  <si>
    <t>International Conference OCEANS 2008 and MTS/IEEE Kobe Techno-Ocean '08</t>
  </si>
  <si>
    <t>APR 08-11, 2008</t>
  </si>
  <si>
    <t>Kobe, JAPAN</t>
  </si>
  <si>
    <t>DIVERSITY; BACTERIA</t>
  </si>
  <si>
    <t>Microorganisms were isolated from Antarctica lakes and identified based on 16S rDNA sequence analysis. The lake samples were collected from Antarctic lakes in Skavrvsnes near Syowa Station area. When cultivation of lake water was performed at 4 degrees C and 20 degrees C in several selection media, most of microorganisms could not grow at 20 degrees C, but they could efficiently grow at 4 degrees C, indicating that low incubation temperature was more suitable for microorganisms in Antarctica lake. 16S rDNA of each isolate was sequenced. Homology search on GenBank showed that some clones were closely related to class of Flavobacteria, Bacilli, Actinobacteria, Alpha-proteobacteria, and Gamma-proteobacteria. A strain which grew at 20 degrees C was identical to previously characterized bacterium (Gillisia limnaea) with 93% of 16S rDNA similarity, which suggested that this strain might be representative of novel genera.</t>
  </si>
  <si>
    <t>[Zhang, Hongyan; Hosoi-Tanabe, Shoko; Nagata, Shinichi] Kobe Univ, Res Ctr Inland Seas, 5-1-1 Fukaeminami, Kobe, Hyogo 6580022, Japan; [Ban, Syuhei] Univ Shiga Prefecture, Sch Environm Sci, Hikone, Shiga 5228533, Japan; [Imura, Satoshi] Natl Inst Polar Res, Itabashi Ku, Tokyo 1738515, Japan</t>
  </si>
  <si>
    <t>Kobe University; University Shiga Prefecture; Research Organization of Information &amp; Systems (ROIS); National Institute of Polar Research (NIPR) - Japan</t>
  </si>
  <si>
    <t>Hosoi-Tanabe, S (corresponding author), Kobe Univ, Res Ctr Inland Seas, 5-1-1 Fukaeminami, Kobe, Hyogo 6580022, Japan.</t>
  </si>
  <si>
    <t>syonatsu@maritime.kobe-u.ac.jp</t>
  </si>
  <si>
    <t>Ban, Syuhei/0000-0002-7168-5583</t>
  </si>
  <si>
    <t>0197-7385</t>
  </si>
  <si>
    <t>978-1-4244-2125-1</t>
  </si>
  <si>
    <t>Engineering, Marine; Engineering, Electrical &amp; Electronic; Oceanography; Telecommunications</t>
  </si>
  <si>
    <t>Engineering; Oceanography; Telecommunications</t>
  </si>
  <si>
    <t>BIA62</t>
  </si>
  <si>
    <t>WOS:000257943100142</t>
  </si>
  <si>
    <t>Tsuchiya, T; Anada, T; Endoh, N; Ushio, S</t>
  </si>
  <si>
    <t>MTS; IEEE</t>
  </si>
  <si>
    <t>Tsuchiya, Takenobu; Anada, Tetsuo; Endoh, Nobuyuki; Ushio, Shuki</t>
  </si>
  <si>
    <t>Analysis of Characteristics of Sound Propagation in Antarctic Ocean by Parabolic Equation Method</t>
  </si>
  <si>
    <t>OCEANS 2008, VOLS 1-4</t>
  </si>
  <si>
    <t>OCEANS 2008 Conference</t>
  </si>
  <si>
    <t>SEP 15-18, 2008</t>
  </si>
  <si>
    <t>Quebec City, CANADA</t>
  </si>
  <si>
    <t>Recently, the climate research of Ocean using Autonomous Underwater Vogel (AUV) is being planned in the Antarctic Ocean. In order to understand the characteristics of sound propagation in the Antarctic Ocean for communicate to AUV, we were calculated propagation time of pulse used by ray theory. Sound velocity profile was calculated from Japanese Antarctic Research Expedition (JARE-31) in 1991. It was assumed that the transmitter was placed at 100 m in depth and propagation range was 33 km in OW traverse line. We have investigated about the influence of bathymetry in Lutzow-Holm bay for sound propagation in the Antarctic Ocean model that covered ice layer on surface for 33 km in range. The sound propagation time in OW line changed as the increment of roughness of ice surface and bathymetry. In order to know the characteristics of sound propagation, we calculated pulse waveform using parabolic equation method.</t>
  </si>
  <si>
    <t>[Tsuchiya, Takenobu; Anada, Tetsuo; Endoh, Nobuyuki] Kanagawa Univ, Fac Engn, Kanagawa Ku, 3-27 Rokkakubashi, Yokohama, Kanagawa 2218686, Japan; [Ushio, Shuki] Natl Inst Polar Res, Itabashi Ku, Tokyo 1738515, Japan</t>
  </si>
  <si>
    <t>Kanagawa University; Research Organization of Information &amp; Systems (ROIS); National Institute of Polar Research (NIPR) - Japan</t>
  </si>
  <si>
    <t>Tsuchiya, T (corresponding author), Kanagawa Univ, Fac Engn, Kanagawa Ku, 3-27 Rokkakubashi, Yokohama, Kanagawa 2218686, Japan.</t>
  </si>
  <si>
    <t>Ministry of Education, Culture, Sports, Science and Technology, Japan</t>
  </si>
  <si>
    <t>Ministry of Education, Culture, Sports, Science and Technology, Japan(Ministry of Education, Culture, Sports, Science and Technology, Japan (MEXT))</t>
  </si>
  <si>
    <t>This study was partly supported by High-Tech Research Centre Project from the Ministry of Education, Culture, Sports, Science and Technology, Japan.</t>
  </si>
  <si>
    <t>978-1-4244-2619-5</t>
  </si>
  <si>
    <t>Engineering, Marine; Engineering, Ocean; Oceanography</t>
  </si>
  <si>
    <t>Engineering; Oceanography</t>
  </si>
  <si>
    <t>BJG44</t>
  </si>
  <si>
    <t>WOS:000265654501152</t>
  </si>
  <si>
    <t>Absil, O; Defrère, D; du Foresto, VC; Di Folco, E; den Hartog, R; Augereau, JC</t>
  </si>
  <si>
    <t>Scholler, M; Danchi, WC; Delplancke, F</t>
  </si>
  <si>
    <t>Absil, Olivier; Defrere, Denis; du Foresto, Vincent Coude; Di Folco, Emmanuel; den Hartog, Roland; Augereau, Jean-Charles</t>
  </si>
  <si>
    <t>High dynamic range interferometric observations of exozodiacal discs: performance comparison between ground, space and Antarctica</t>
  </si>
  <si>
    <t>OPTICAL AND INFRARED INTERFEROMETRY</t>
  </si>
  <si>
    <t>Conference on Optical and Infrared Interferometry</t>
  </si>
  <si>
    <t>JUN 23-27, 2008</t>
  </si>
  <si>
    <t>Exozodiacal dust; infrared interferometry; nulling interferometry; high-dynamic range observations</t>
  </si>
  <si>
    <t>DEBRIS DISKS; STARS; CHARA/FLUOR; SYSTEM; GENIE; VLTI</t>
  </si>
  <si>
    <t>The possible presence of large amounts of exozodiacal dust around nearby main sequence stars represents a threat to the detection and characterisation of Earth-like extrasolar planets with future infrared space interferometers such as DARWIN or TPF. In this paper, we first review the current detection capabilities of ground-based infrared interferometers such as CHARA/FLUOR. and the detections of hot, dust that have been obtained so far around a few main sequence stars. With the help of realistic instrumental simulations, we then discuss the relative merits of various ground-based sites ( temperate and Antarctic) versus space-based observatories for the detection of exozodiacal discs down to a few zodi by interferometric nulling as a preparation to future life-finding missions. In particular, we discuss the performance of four proposed nulling interferometers: GENIE, ALADDIN, PEGASE and FKSI. An optimised strategy for the characterization of candidate DARWIN/TPF targets is finally proposed.</t>
  </si>
  <si>
    <t>[Absil, Olivier] CNRS, UMR 5571, LAOG, BP 53, F-38041 Grenoble, France; [Defrere, Denis] Univ Liege, Inst Astron &amp; Geophys, B-4000 Liege, Belgium; [du Foresto, Vincent Coude] CNRS, LESIA, UMR 8109, F-92195 Meudon, France; [du Foresto, Vincent Coude] Observ Paris, F-92195 Meudon, France; [Di Folco, Emmanuel] Univ Geneva, Astron Observ, CH-1290 Sauverny, Switzerland; [den Hartog, Roland] ESA ESTEC, Sci Payloads &amp; Adv Concepts Off, NL-2200 AG Noordwijk, Netherlands</t>
  </si>
  <si>
    <t>Centre National de la Recherche Scientifique (CNRS); Communaute Universite Grenoble Alpes; Universite Grenoble Alpes (UGA); University of Liege; Universite Paris Cite; Universite PSL; Observatoire de Paris; Sorbonne Universite; Centre National de la Recherche Scientifique (CNRS); CNRS - National Institute for Earth Sciences &amp; Astronomy (INSU); Universite PSL; Observatoire de Paris; University of Geneva; European Space Agency</t>
  </si>
  <si>
    <t>Absil, O (corresponding author), CNRS, UMR 5571, LAOG, BP 53, F-38041 Grenoble, France.</t>
  </si>
  <si>
    <t>olivier.absil.@obs.ujf-grenoble.fr</t>
  </si>
  <si>
    <t>Defrere, Denis/0000-0003-3499-2506; Augereau, Jean-Charles/0000-0002-2725-6415</t>
  </si>
  <si>
    <t>978-0-8194-7223-6</t>
  </si>
  <si>
    <t>70134Q</t>
  </si>
  <si>
    <t>10.1117/12.790298</t>
  </si>
  <si>
    <t>BIM45</t>
  </si>
  <si>
    <t>WOS:000260782400150</t>
  </si>
  <si>
    <t>Rajagopal, J; Tokovinin, A; Bustos, E; Sebag, J</t>
  </si>
  <si>
    <t>Rajagopal, Javadev; Tokovinin, A.; Bustos, E.; Sebag, J.</t>
  </si>
  <si>
    <t>LuSci, a lunar scintillometer to study ground layer turbulence</t>
  </si>
  <si>
    <t>Seeing; Lunar scintillation; Atmospheric Turbulence</t>
  </si>
  <si>
    <t>We present a new lunar scintillometer, LuSci. A simple and accurate way to determine the Ground Layer (GL) turbulence profile is through measuring lunar and solar scintillation. The contribution of the first 10-100 m to the total is usually significant. Measuring the seeing in this GL is important to evaluate sites: especially to set the height of future domes and to translate existing seeing data to higher domes. This holds in particular to Antarctic sites where the GL, seeing is dominant, with obvious implications for AO and interferometry. We develop robust methods for turbulence profile restoration from LuSci data, incorporating the effect of lunar phases. We present. restored profiles from initial campaigns. We also extract a simple model for the wind profile from the rich information present in the scintillation spectrum.</t>
  </si>
  <si>
    <t>[Rajagopal, Javadev; Tokovinin, A.; Bustos, E.] NOAO CTIO, Casilla 603, La Serena, Chile; [Sebag, J.] Natl Opt Astron Observ, Tucson, AZ 85719 USA</t>
  </si>
  <si>
    <t>National Optical Astronomy Observatory; National Optical Astronomy Observatory</t>
  </si>
  <si>
    <t>Rajagopal, J (corresponding author), NOAO CTIO, Casilla 603, La Serena, Chile.</t>
  </si>
  <si>
    <t>jrajagopal@ctio.noao.edu</t>
  </si>
  <si>
    <t>Tokovinin, Andrei/AAG-3702-2020</t>
  </si>
  <si>
    <t>Tokovinin, Andrei/0000-0002-2084-0782</t>
  </si>
  <si>
    <t>70131P</t>
  </si>
  <si>
    <t>10.1117/12.789042</t>
  </si>
  <si>
    <t>WOS:000260782400050</t>
  </si>
  <si>
    <t>Trinquet, H; Vakili, F; Petitjean, G; Jeanneaux, F; Daban, JB; Vernin, J</t>
  </si>
  <si>
    <t>Trinquet, Herve; Vakili, Farrokh; Petitjean, Guillaume; Jeanneaux, Francois; Daban, Jean-Baptiste; Vernin, Jean</t>
  </si>
  <si>
    <t>PropHAn: Horizontal Propagation Sensor for Interferometry at Dome C</t>
  </si>
  <si>
    <t>atmospheric effects; interferometry; site testing</t>
  </si>
  <si>
    <t>ANTARCTICA</t>
  </si>
  <si>
    <t>To prepare long baseline interferometric arrays with large telescopes, at Dome C on the Antarctic plateau, we have to know the effect of the strong turbulent surface layer on the wave front propagation as sensed by two telescopes. The main limit of long baseline interferometer is the phase fluctuations, induced by the optical turbulence above each telescope and towards the focal beam combiner. PropHAn (Horizontal Propagation in Antarctica) is an instrument to study the optical turbulence effect on the horizontal propagation. PropHAn is designed to retrieve the phase fluctuations between two different horizontal paths of a coherent laser beam. It is a Michelson periscopic interferometer with a variable baseline from 10 cm up to 1 m. The fringe pattern is recorded on a fast CCD camera to freeze the turbulent motions. The main goal of PropHAn is to test a simple interferometric table in Antarctic conditions, and to provide statistics on the turbulent coherence time and the differential piston mode for a 1 m baseline. These results, in complement with the results provided by DIMM, C(N)(2) balloons profiles and Single Star Scidar measurements, would be required to design long baseline interferometers and fringe tracker at Dome C.</t>
  </si>
  <si>
    <t>[Trinquet, Herve; Vakili, Farrokh; Petitjean, Guillaume; Jeanneaux, Francois; Daban, Jean-Baptiste; Vernin, Jean] Univ Nice, CNRS, Observ Cote Azur, Lab H Fizeau,UMR 6525, F-06108 Nice, France</t>
  </si>
  <si>
    <t>Centre National de la Recherche Scientifique (CNRS); Universite Cote d'Azur; Observatoire de la Cote d'Azur</t>
  </si>
  <si>
    <t>Trinquet, H (corresponding author), Univ Nice, CNRS, Observ Cote Azur, Lab H Fizeau,UMR 6525, F-06108 Nice, France.</t>
  </si>
  <si>
    <t>Vernin, Jean/0000-0002-8956-8844</t>
  </si>
  <si>
    <t>70134J</t>
  </si>
  <si>
    <t>10.1117/12.790966</t>
  </si>
  <si>
    <t>WOS:000260782400143</t>
  </si>
  <si>
    <t>Villinski, JC; Hayes, JM; Brassell, SC; Riggert, VL; Dunbar, RB</t>
  </si>
  <si>
    <t>Villinski, Jennifer C.; Hayes, John M.; Brassell, Simon C.; Riggert, Virginia L.; Dunbar, Robert B.</t>
  </si>
  <si>
    <t>Sedimentary sterols as biogeochemical indicators in the Southern Ocean</t>
  </si>
  <si>
    <t>ORGANIC GEOCHEMISTRY</t>
  </si>
  <si>
    <t>16th Annual V M Goldschmidt Conference</t>
  </si>
  <si>
    <t>AUG-SEP -, 2006</t>
  </si>
  <si>
    <t>Melbourne, AUSTRALIA</t>
  </si>
  <si>
    <t>CARBON ISOTOPIC COMPOSITION; ROSS SEA; ORGANIC-MATTER; FATTY-ACIDS; PHAEOCYSTIS-POUCHETII; PHYTOPLANKTON BLOOM; COMMUNITY STRUCTURE; PARTICULATE MATTER; MARINE-SEDIMENTS; ANTARCTIC KRILL</t>
  </si>
  <si>
    <t>Abundances and isotopic compositions of sterols and of total organic carbon in surface sediments were measured at 18 stations in the Ross Sea, Antarctica. Ten sterols, 5 alpha-cholestan-3 beta-ol (cholestanol), cholest-5-en-3 beta-ol (cholesterol), cholest-5,22E-dien-3 beta-ol, 24-methyl-5 alpha-cholest-22E-en-3 beta-ol (brassicastanol), 24-methyl-cholest-5,22E-dien-3 beta-ol (brassicasterol), 24-ethyl-5 alpha-cholestan-3 beta-ol (sitostanol), 24-ethyl-cholest-5-en-3 beta-ol (sitosterol), 24-ethyl-cholest-5,22E-dien-3 beta-ol (stigmasterol), 4 alpha,23,24-trimethyl-5 alpha-cholestan-3 beta-ol (dinostanol), and 4 alpha,23,24-trimethyl-5 alpha-cholest-22E-en-3 beta-ol (dinosterol), are most widely distributed. Polytopic vector analysis of the variations in abundance resolved four sources for these compounds: an assemblage of phytoplankton characteristic of the Ross Sea Polynya, diatoms and associated consumers, zooplankton, and processes associated with heterotrophic dinoflagellates. Concentrations of stanols were strongly correlated with those of dinosterol and dinostanol. Concentrations of total organic carbon (TOC) ranged from 0.1% to 1.2% and were lowest on crests and banks and higher in basins. The mole fraction of organic carbon occurring as sterols ranged from 3 to 1100 ppm. Values were lowest at stations with anomalously old TOC (estimated from regional variations in the radiocarbon age of acid-insoluble organic carbon), thus pointing to weathering and redistribution of surface sediments as important factors in the differential degradation of sterols and TOC. The difference in first order rate constants for the degradation of these materials is ca. 0.002 yr(-1). Stigmasterol and the C-27 sterols were significantly enriched in C-13 relative to other sterols. The abundance of C-13 in TOC at four western stations was 4 parts per thousand higher than else-where. Abundances of C-13 in all sterols at these stations is also 4 parts per thousand higher than elsewhere, indicating enrichment of C-13 in the entire biological Community. Independent observations of P-CO2 in surface waters, together with known relationships between isotopic fractionation and the concentration of dissolved CO2, show that the isotopic zonation in organic carbon is due entirely to dynamic drawdown of CO2 in western surface waters. At those locations, late melting of ice produces salinity gradients that inhibit mixing of CO2 from deeper waters. (C) 2008 Elsevier Ltd. All rights reserved.</t>
  </si>
  <si>
    <t>[Villinski, Jennifer C.; Brassell, Simon C.] Indiana Univ, Dept Geol Sci, Biochem Lab, Bloomington, IN 47405 USA; [Hayes, John M.] Woods Hole Oceanog Inst, Dept Geol &amp; Geophys, Woods Hole, MA 02543 USA; [Riggert, Virginia L.] BP AlternativEnergy, Carbon Capture &amp; Storage Tcchnol, Houston, TX 77079 USA; [Dunbar, Robert B.] Stanford Univ, Dept Geog &amp; Environm Sci, Stanford, CA 94305 USA</t>
  </si>
  <si>
    <t>Indiana University System; Indiana University Bloomington; Woods Hole Oceanographic Institution; BP; Stanford University</t>
  </si>
  <si>
    <t>Villinski, JC (corresponding author), BP Egypt, POB 4381, Houston, TX 77210 USA.</t>
  </si>
  <si>
    <t>villinjc@bp.com</t>
  </si>
  <si>
    <t>Brassell, SImon C/H-4970-2011</t>
  </si>
  <si>
    <t>Dunbar, Robert/0000-0002-9728-5609</t>
  </si>
  <si>
    <t>0146-6380</t>
  </si>
  <si>
    <t>ORG GEOCHEM</t>
  </si>
  <si>
    <t>Org. Geochem.</t>
  </si>
  <si>
    <t>10.1016/j.orggeochem.2008.01.009</t>
  </si>
  <si>
    <t>314XL</t>
  </si>
  <si>
    <t>WOS:000256842400008</t>
  </si>
  <si>
    <t>Willen, E</t>
  </si>
  <si>
    <t>Willen, Elke</t>
  </si>
  <si>
    <t>Pseudotachidiidae (Copepoda: Harpacticoida) from the Angola Basin and the Antarctic deep sea, with the description of a new species of Paradanielssenia Soyer, 1970</t>
  </si>
  <si>
    <t>ORGANISMS DIVERSITY &amp; EVOLUTION</t>
  </si>
  <si>
    <t>New species; Paradanielssenia meikae; Deep sea; Copepoda Harpacticoida; Pseudotachidiidae; Species-level diversity</t>
  </si>
  <si>
    <t>The species diversity of Copepoda Harpacticoida in the deep sea of the Angola Basin (DIVA I expedition) and in the Weddell Sea (ANDEEP II expedition) is investigated. In both areas, the Pseudotachidiidae Lang 1936. together with Ameiridae Monard. 1927. Argstidae Por. 1986 and Ectinosomatidae Sars. 1903, m-e richest in species and individual numbers. From two DIVA stations and from ANDEEP station 138, all adult specimens have been determined at the level of 'working species'. Pseudomesochrinae Willen 1996, represented mainly by the single taxon Pseudomesochra T. Scott. 1902. and Paranannopinae Por. 1986 turned out to be the 'dominant' taxa in terms Of abundance and species number. A new species of Paradanielssenia Soyer, 1970 is described. Which Was encountered in relatively high abundances in nearly every replicate sample from the DIVA stations. The full description of Paradanielssenia meikae sp. n. is given in the online edition of this paper, including a discussion of the Systematic position and monophyly of Paradanielssenia within the Paranannopinae, a comparison of the species in the genus a key to these species. as well as the results of ail investigation into the species diversity of Copepoda Harpacticoida in the deep sea of the Angola Basin (DIVA I expedition) and in the Weddell Sea (ANDEEP 11 expedition). (C) 2008 Gesellschaft. fur Biologische Systematik. Published by Elsevier GmbH. All rights reserved.</t>
  </si>
  <si>
    <t>Carl von Ossietzky Univ Oldenburg, Fac 5, Inst Biol, AG Zoosystamat &amp; Morphol, D-26111 Oldenburg, Germany</t>
  </si>
  <si>
    <t>Willen, E (corresponding author), Carl von Ossietzky Univ Oldenburg, Fac 5, Inst Biol, AG Zoosystamat &amp; Morphol, D-26111 Oldenburg, Germany.</t>
  </si>
  <si>
    <t>ewillen@gmx.de</t>
  </si>
  <si>
    <t>ELSEVIER GMBH, URBAN &amp; FISCHER VERLAG</t>
  </si>
  <si>
    <t>JENA</t>
  </si>
  <si>
    <t>OFFICE JENA, P O BOX 100537, 07705 JENA, GERMANY</t>
  </si>
  <si>
    <t>1439-6092</t>
  </si>
  <si>
    <t>ORG DIVERS EVOL</t>
  </si>
  <si>
    <t>Org. Divers. Evol.</t>
  </si>
  <si>
    <t>Evolutionary Biology; Zoology</t>
  </si>
  <si>
    <t>385YK</t>
  </si>
  <si>
    <t>WOS:000261849300001</t>
  </si>
  <si>
    <t>Sorensen, MV</t>
  </si>
  <si>
    <t>Sorensen, Martin V.</t>
  </si>
  <si>
    <t>A new kinorhynch genus from the Antarctic deep sea and a new species of Cephalorhyncha from Hawaii (Kinorhyncha: Cyclorhagida: Echinoderidae)</t>
  </si>
  <si>
    <t>ANDEEP; Antarctica; New genus; Cephalorhyncha liticola sp nov.; Polacanthoderes martinezi gen. et sp nov.; Taxonomy</t>
  </si>
  <si>
    <t>TAXONOMIC CHARACTERS; BIOLOGY; FLORIDA</t>
  </si>
  <si>
    <t>A new species of I new kinorhynch genus with affinities to the Echinoderidae and a new species of Cephalorhyncha are described. Polacanthoderes martinezi gen, et sp, nov. was collected during the German ANDEEP-I cruise at 2290 m depth north of the South Shetland Islands in the Southern Atlantic Ocean, approximately 170 km north of the Antarctic Peninsula. Polacanthoderes is characterized by the presence or a first trunk segment consisting of a complete cuticular ring, and by each of (lie following ten segments consisting of one tergal and two sternal plates. Cuticular hairs and perforation sixes are absent, but spines are present in middorsal, subdorsal, laterodorsal, midlateral, lateral accessory, lateroventral, ventrolateral and ventromedial series on segments 4-10. The ventral side of segment I has a very strong and conspicuous pectinate fringe, whereas fringes are indistinct or absent oil posterior segment margins or the following segments. Due to segment I being composed of a closed ring and the following segments of a tergal and two sternal plates, as well as to the presence of aligned middorsal spines kind lateral terminal spines but absence or a midterminal spine, Polacanthoderes is assigned to the family Echinoderidae. Cephalorhyncha liticola sp. nov. was collected in the intertidal zone of a high energy beach oil the northeast coast of Oahu, Hawaii. The species is characterized by the sternal plate of segment 2 being incompletely separated anteriorly by a midventral fissure. Middorsal spines are present on segments 4-8, ventrolateral spines on segment 2, lateroventral spines oil segments 5-9, lateral accessory spines oil segment 8, and laterodorsal spines oil segment 10. In addition, there are special sensory spots with conspicuous marginal cuticular hairs on segments 1-3, and very long pectinate fringes on the sternal plates of segments 3-10, The partly subdivided sternal plates on segment 2 show the species to belong to the echinoderid genus Cephalorhyncha. (C) 2008 Gesellschart fur Biologische Systematik. Published by Elsevier GmbH. All rights reserved.</t>
  </si>
  <si>
    <t>Univ Copenhagen, Dept Biol, Ancient DNA &amp; Evolut Grp, DK-2100 Copenhagen, Denmark</t>
  </si>
  <si>
    <t>University of Copenhagen</t>
  </si>
  <si>
    <t>Sorensen, MV (corresponding author), Univ Copenhagen, Dept Biol, Ancient DNA &amp; Evolut Grp, Univ Pk 15, DK-2100 Copenhagen, Denmark.</t>
  </si>
  <si>
    <t>mvsorensen@bi.ku.dk</t>
  </si>
  <si>
    <t>Sørensen, Martin V/A-8852-2013</t>
  </si>
  <si>
    <t>10.1016/j.ode.2007.11.003</t>
  </si>
  <si>
    <t>345XG</t>
  </si>
  <si>
    <t>WOS:000259030400003</t>
  </si>
  <si>
    <t>Vicente, CS; Sorbe, JC</t>
  </si>
  <si>
    <t>Vicente, Carles San; Sorbe, Jean Claude</t>
  </si>
  <si>
    <t>Hansenomysis anaramosae n. sp., a new suprabenthic mysid (Crustacea: Petalophthalmidae) from Bellingshausen Sea (Southern ocean)</t>
  </si>
  <si>
    <t>Mysidacea; Petalophthalmidae; Hansenomysis; Bellingshausen Sea; Antarctica</t>
  </si>
  <si>
    <t>BRANSFIELD STRAIT; SHETLAND ISLANDS; EUPHAUSIIDS; BOTTOM</t>
  </si>
  <si>
    <t>A new petalophthalmid mysid, Hansenomysis anaramosae n. sp., is described from specimens sampled with a suprabenthic sled in the Bellingshausen Sea (Southern Ocean). Hansenomysis anaramosae is clearly distinguishable from its closest congener, H. angusticauda Tattersall, by the carapace sculpturing, the rostrum produced into a spine-like process, the shape and armature of the antennal scale, eyeplate, and telson. This new species is the fourth Hansenomysis species described from the Southern Ocean. A key to these Antarctic species is presented. (C) 2007 Gesellschaft fur Biologische Systematik. Published by Elsevier GmbH. All rights reserved.</t>
  </si>
  <si>
    <t>[Sorbe, Jean Claude] CNRS, UMR 5805, UBI, Lab Oceanog Biol, F-33120 Arcachon, France</t>
  </si>
  <si>
    <t>Centre National de la Recherche Scientifique (CNRS); CNRS - National Institute for Earth Sciences &amp; Astronomy (INSU); Universite de Bordeaux</t>
  </si>
  <si>
    <t>Vicente, CS (corresponding author), Nou 8, Creixell Tarragona, Spain.</t>
  </si>
  <si>
    <t>csanvicente@gencat.net; jc.sorbe@epoc.u-bordeaux1.fr</t>
  </si>
  <si>
    <t>10.1016/j.ode.2006.08.005</t>
  </si>
  <si>
    <t>290TL</t>
  </si>
  <si>
    <t>WOS:000255145000003</t>
  </si>
  <si>
    <t>SUBLITTORAL SOFT SEDIMENTS; PARANANNOPIDAE COPEPODA; LANG; CRUSTACEA; GENERA; TACHIDIIDAE; REVISION; ABYSSAL</t>
  </si>
  <si>
    <t>The species diversity of Copepoda Harpacticoida in the deep sea of the Angola Basin (DIVA I expedition) and in the Weddell Sea (ANDEEP II expedition) is investigated. In both areas, the Pseudotachidiidae Lang, 1936, together with Ameiridae Monard, 1927, Argestidae Por, 1986 and Ectinosomatidae Sars, 1903, are richest in species and numbers of individuals. From two DIVA stations and from ANDEEP station 138, all adult specimens have been determined at the level of 'working species'. Pseudomesochrinae Willen, 1996, represented mainly by the single taxon Pseudomesochra T. Scott, 1902 and Paranannopinae Por, 1986 turned out to be the 'dominant' taxa in terms of abundance and species number. A new species of Paradanielssenia Soyer, 1970 is described, which was encountered in relatively high abundances in almost every replicate sample from the DIVA stations, A key to the known species of the taxon Paradanielssenia is given. (c) 2008 Gesellschaft fur Biologische Systematik. Published by Elsevier GmbH. All rights reserved.</t>
  </si>
  <si>
    <t>[Willen, Elke] Carl von Ossietzky Univ Oldenburg, Fac 5, Inst Biol, AG Zoosystamat &amp; Morphol, D-26111 Oldenburg, Germany</t>
  </si>
  <si>
    <t>Willen, E (corresponding author), Care of Schminke HK, Univ Oldenburg, Fac 5, Inst Biol, D-26111 Oldenburg, Germany.</t>
  </si>
  <si>
    <t>WOS:000261849300009</t>
  </si>
  <si>
    <t>Taylor, PD; Casadio, S; Gordon, DP</t>
  </si>
  <si>
    <t>Taylor, Paul D.; Casadio, Silvio; Gordon, Dennis P.</t>
  </si>
  <si>
    <t>A rare form of frontal shield development in the new cheilostome bryozoan genus Uharella from the Eocene of Antarctica</t>
  </si>
  <si>
    <t>PALAEONTOLOGISCHE ZEITSCHRIFT</t>
  </si>
  <si>
    <t>Bryozoa; Cheilostomata; Eocene; Antarctica; Brydonellidae n. fam.; Uharella n. gen.; palaeoecology</t>
  </si>
  <si>
    <t>A new cheilostome bryozoan, Uharella seymourensis n. gen., n. sp., is described from the Eocene of Seymour Island, Antarctic Peninsula. Colonies of U. seymourensis encrust lithoclasts, locally in high densities with 1-2 mm-wide strips of unencrusted substrate between neighbouring colonies. This unusual patterning could indicate chemical defence against encroaching colonies or may have resulted from grazing. U. seymourensis is an ascophoran-grade cheilostome with an unusual umbonuloid frontal shield apparently derived entirely or in part from kenozooidal overgrowth. The most closely related genus appears to be the European Maastrichtian and Danian genus Brydonella BERTHELSEN, 1962 with which Uharella is here united in Brydonellidae n. fam.</t>
  </si>
  <si>
    <t>[Taylor, Paul D.] Nat Hist Museum, Dept Palaeontol, London SW7 5BD, England; [Casadio, Silvio] Fac Ciencias Exactas &amp; Nat, RA-6300 Santa Rosa, La Pampa, Argentina; [Gordon, Dennis P.] Natl Inst Water &amp; Atmospher Res, Aquat Biodivers &amp; Biosecur, Wellington, New Zealand</t>
  </si>
  <si>
    <t>Natural History Museum London; National Institute of Water &amp; Atmospheric Research (NIWA) - New Zealand</t>
  </si>
  <si>
    <t>Taylor, PD (corresponding author), Nat Hist Museum, Dept Palaeontol, Cromwell Rd, London SW7 5BD, England.</t>
  </si>
  <si>
    <t>p.taylor@nhm.ac.uk; silvio63ar@yahoo.com.ar; d.gordon@niwa.co.nz</t>
  </si>
  <si>
    <t>Casadio, Silvio/A-5131-2010</t>
  </si>
  <si>
    <t>Taylor, Paul/0000-0002-3127-080X</t>
  </si>
  <si>
    <t>0031-0220</t>
  </si>
  <si>
    <t>1867-6812</t>
  </si>
  <si>
    <t>PALAEONTOL Z</t>
  </si>
  <si>
    <t>Palaontol. Z.</t>
  </si>
  <si>
    <t>10.1007/BF02988893</t>
  </si>
  <si>
    <t>358LN</t>
  </si>
  <si>
    <t>WOS:000259918500003</t>
  </si>
  <si>
    <t>Petkaki, P; MacKinnon, AL</t>
  </si>
  <si>
    <t>Li, G; Lin, RP; Luhmann, J; Hu, Q; Verkhoglyadova, O; Zank, GP</t>
  </si>
  <si>
    <t>Petkaki, Panagiota; MacKinnon, Alexander L.</t>
  </si>
  <si>
    <t>Fluctuating electric field particle acceleration at a magnetic field null point</t>
  </si>
  <si>
    <t>PARTICLE ACCELERATION AND TRANSPORT IN THE HELIOSPHERE AND BEYOND</t>
  </si>
  <si>
    <t>AIP Conference Proceedings</t>
  </si>
  <si>
    <t>7th Annual International Astrophysics Conference</t>
  </si>
  <si>
    <t>MAR 07-13, 2008</t>
  </si>
  <si>
    <t>Kauai, HI</t>
  </si>
  <si>
    <t>flares; magnetic reconnection; particle orbits</t>
  </si>
  <si>
    <t>RECONNECTION; DYNAMICS</t>
  </si>
  <si>
    <t>Release of stored magnetic energy via particle acceleration is a characteristic feature of astrophysical plasmas. Magnetic reconnection is one of the primary candidate mechanisms for releasing non-potential energy from magnetized plasmas. A collisionless magnetic reconnection scenario could provide both the energy release mechanism and the particle accelerator in flares. We studied particle acceleration consequences from fluctuating electric fields superposed on an X-type magnetic field in collisionless hot solar plasma. This system is chosen to mimic generic features of dynamic reconnection, or the reconnective dissipation of a linear disturbance. Time evolution of thermal particle distributions are obtained by numerically integrating particle orbits. A range of frequencies of the electric field is used, representing a turbulent range of waves. Depending on the frequency and amplitude of the electric field, electrons and ions are accelerated to different degrees and often have energy distributions of different forms. Protons are accelerated to gamma-ray producing energies and electrons to and above hard X-ray producing energies in timescales of 1 second. The acceleration mechanism could be applicable to all collisionless plasmas.</t>
  </si>
  <si>
    <t>[Petkaki, Panagiota] British Antarctic Survey, Div Phys Sci, Cambridge CB3 0ET, England; [MacKinnon, Alexander L.] Univ Glasgow, DACE Physics &amp; Astron, Glasgow G12 8QQ, Lanark, Scotland</t>
  </si>
  <si>
    <t>UK Research &amp; Innovation (UKRI); Natural Environment Research Council (NERC); NERC British Antarctic Survey; University of Glasgow</t>
  </si>
  <si>
    <t>Petkaki, P (corresponding author), British Antarctic Survey, Div Phys Sci, Cambridge CB3 0ET, England.</t>
  </si>
  <si>
    <t>MacKinnon, Alexander/K-3414-2017</t>
  </si>
  <si>
    <t>MacKinnon, Alexander/0000-0002-3558-4806</t>
  </si>
  <si>
    <t>0094-243X</t>
  </si>
  <si>
    <t>978-0-7354-0566-0</t>
  </si>
  <si>
    <t>AIP CONF PROC</t>
  </si>
  <si>
    <t>BIG96</t>
  </si>
  <si>
    <t>WOS:000259432300004</t>
  </si>
  <si>
    <t>Seckmeyer, G; Pissulla, D; Glandorf, M; Henriques, D; Johnsen, B; Webb, A; Siani, AM; Bais, A; Kjeldstad, B; Brogniez, C; Lenoble, J; Gardiner, B; Kirsch, P; Koskela, T; Kaurola, J; Uhlmann, B; Slaper, H; den Outer, P; Janouch, M; Werle, P; Gröbner, J; Mayer, B; de la Casiniere, A; Simic, S; Carvalho, F</t>
  </si>
  <si>
    <t>Seckmeyer, Gunther; Pissulla, Darius; Glandorf, Merle; Henriques, Diamantino; Johnsen, Bjorn; Webb, Ann; Siani, Anna-Maria; Bais, Alkis; Kjeldstad, Berit; Brogniez, Colette; Lenoble, Jacqueline; Gardiner, Brian; Kirsch, Peter; Koskela, Tapani; Kaurola, Jussi; Uhlmann, Beate; Slaper, Harry; den Outer, Peter; Janouch, Michal; Werle, Peter; Groebner, Julian; Mayer, Bernhard; de la Casiniere, Alain; Simic, Stana; Carvalho, Fernanda</t>
  </si>
  <si>
    <t>Variability of UV irradiance in Europe</t>
  </si>
  <si>
    <t>PHOTOCHEMISTRY AND PHOTOBIOLOGY</t>
  </si>
  <si>
    <t>RADIATIVE-TRANSFER; SOLAR UV; MULTIPLE-SCATTERING; CLOUD; SATELLITE; ULTRAVIOLET; CLIMATOLOGY; UNCERTAINTY; ALGORITHM; SURFACE</t>
  </si>
  <si>
    <t>The diurnal and annual variability of solar UV radiation in Europe is described for different latitudes, seasons and different biologic weighting functions. For the description of this variability under cloudless skies the widely used one-dimensional version of the radiative transfer model UVSPEC is used. We reconfirm that the major factor influencing the diurnal and annual variability of UV irradiance is solar elevation. While ozone is a strong absorber of UV radiation its effect is relatively constant when compared with the temporal variability of clouds. We show the significant role that clouds play in modifying the UV climate by analyzing erythemal irradiance measurements from 28 stations in Europe in summer. On average, the daily erythemal dose under cloudless skies varies between 2.2 kJ m(-2) at 70 degrees N and 5.2 kJ m(-2) at 35 degrees N, whereas these values are reduced to 1.5-4.5 kJ m(-2) if clouds are included. Thus clouds significantly reduce the monthly UV irradiation, with the smallest reductions, on average, at lower latitudes, which corresponds to the fact that it is often cloudless in the Mediterranean area in summer.</t>
  </si>
  <si>
    <t>[Seckmeyer, Gunther; Pissulla, Darius; Glandorf, Merle] Leibniz Univ Hannover, Inst Meteorol &amp; Climatol, Hannover, Germany; [Henriques, Diamantino; Carvalho, Fernanda] Inst Meteorol, Lisbon, Portugal; [Johnsen, Bjorn] Norwegian Radiat Protect Author, Osteras, Norway; [Webb, Ann] Univ Manchester, Sch Earth Atmospher &amp; Environm Sci, Manchester, Lancs, England; [Siani, Anna-Maria] Univ Roma La Sapienza, Rome, Italy; [Bais, Alkis] Aristotle Univ Thessaloniki, Lab Atmospher Phys, GR-54006 Thessaloniki, Greece; [Kjeldstad, Berit] Norwegian Univ Sci &amp; Technol, Dept Phys, N-7034 Trondheim, Norway; [Brogniez, Colette] Univ Sci &amp; Tech Lille, Opt Atmospher Lab, Lille, France; [Lenoble, Jacqueline] Univ Grenoble 1, Grenoble, France; [Gardiner, Brian; Kirsch, Peter] British Antarctic Survey, Cambridge CB3 0ET, England; [Koskela, Tapani; Kaurola, Jussi] Finnish Meteorol Inst, FIN-00101 Helsinki, Finland; [Uhlmann, Beate] Beiersdorf, Hamburg, Germany; [Slaper, Harry; den Outer, Peter] RIVM, Bilthoven, Netherlands; [Janouch, Michal] Czech Hydrometeorol Inst, Solar &amp; Ozone Observ, Hradec Kralove, Czech Republic; [Werle, Peter] Res Ctr Karlsruhe, Karlsruhe, Germany; [Groebner, Julian] World Radiat Ctr, Phys Meteorol Observ Davos, Davos, Switzerland; [Mayer, Bernhard] DLR, Oberpfaffenhofen, Germany; [de la Casiniere, Alain] Univ Grenoble 1, Equipe IRSA, Grenoble, France; [Simic, Stana] Univ Nat Resources &amp; Appl Life Sci, Inst Meteorol, Vienna, Austria</t>
  </si>
  <si>
    <t>Leibniz University Hannover; University of Manchester; Sapienza University Rome; Aristotle University of Thessaloniki; Norwegian University of Science &amp; Technology (NTNU); Universite de Lille; Communaute Universite Grenoble Alpes; Universite Grenoble Alpes (UGA); UK Research &amp; Innovation (UKRI); Natural Environment Research Council (NERC); NERC British Antarctic Survey; Finnish Meteorological Institute; Netherlands National Institute for Public Health &amp; the Environment; Czech Hydrometeorological Institute; Helmholtz Association; Karlsruhe Institute of Technology; Helmholtz Association; German Aerospace Centre (DLR); Communaute Universite Grenoble Alpes; Universite Grenoble Alpes (UGA); BOKU University</t>
  </si>
  <si>
    <t>Seckmeyer, G (corresponding author), Leibniz Univ Hannover, Inst Meteorol &amp; Climatol, Hannover, Germany.</t>
  </si>
  <si>
    <t>seckmeyer@muk.uni-hannover.de</t>
  </si>
  <si>
    <t>Werle, Peter/A-7764-2013; Siani, Alfonso/B-7925-2015; Simic, Stana/KEI-4947-2024; Bais, Alkiviadis F/D-2230-2009; Janouch, Michal/AAA-7592-2020; Mayer, Bernhard/B-3397-2011</t>
  </si>
  <si>
    <t>Siani, Alfonso/0000-0002-9797-2943; Simic, Stana/0000-0001-9560-7590; Bais, Alkiviadis F/0000-0003-3899-2001; Grobner, Julian/0000-0002-1549-2525; Silva Carvalho, Fernanda do Rosario/0000-0002-1825-7192; Henriques, Diamantino/0000-0003-2026-2342; Mayer, Bernhard/0000-0002-3358-0190; Siani, Anna Maria/0000-0001-7435-1426</t>
  </si>
  <si>
    <t>0031-8655</t>
  </si>
  <si>
    <t>1751-1097</t>
  </si>
  <si>
    <t>PHOTOCHEM PHOTOBIOL</t>
  </si>
  <si>
    <t>Photochem. Photobiol.</t>
  </si>
  <si>
    <t>JAN-FEB</t>
  </si>
  <si>
    <t>10.1111/j.1751-1097.2007.00216.x</t>
  </si>
  <si>
    <t>Biochemistry &amp; Molecular Biology; Biophysics</t>
  </si>
  <si>
    <t>253GO</t>
  </si>
  <si>
    <t>WOS:000252506900024</t>
  </si>
  <si>
    <t>Hu, HH; Ll, HY; Xu, XD</t>
  </si>
  <si>
    <t>Hu, Hanhua; Ll, Huiying; Xu, Xudong</t>
  </si>
  <si>
    <t>Alternative cold response modes in Chlorella (Chlorophyta, Trebouxiophyceae) from Antarctica</t>
  </si>
  <si>
    <t>PHYCOLOGIA</t>
  </si>
  <si>
    <t>Antarctica; antifreeze; Chlorella; cold response modes</t>
  </si>
  <si>
    <t>SEA-ICE DIATOMS; PHOTOSYNTHETIC ENERGY-CONVERSION; EMBRYOGENESIS ABUNDANT PROTEINS; FROST HARDINESS; VULGARIS C-27; EXTREME CONDITIONS; LIMITED GROWTH; ELLIPSOIDEA; LIPIDS; MICROORGANISMS</t>
  </si>
  <si>
    <t>Chlorella was known to show enhanced antifreeze capability after cold hardening. We isolated Chlorella strains NJ-7 and NJ-18, which display alternative cold response modes from rock surfaces in Antarctica. On the basis of 18S ribosomal (rRNA) sequences, NJ-7 is an Antarctic type of Chlorella vulgaris; NJ-18 is also a 'true' Chlorella species but differs from any previously reported species in structure. NJ-7 partially retained the enhancing effects of low temperature cultivation on freeze tolerance, which correlates with an increase of C18:3-fatty acid content and up-regulation of two antifreeze protein genes. NJ-18, however, showed stable freeze tolerance regardless of the precultivation temperature. We propose that cold response modes vary widely in Chlorella and that the adaptation of C. vulgaris to Antarctica may serve as a model system for the evolution of antifreeze mechanisms in a single species of photosynthetic microorganism.</t>
  </si>
  <si>
    <t>[Hu, Hanhua; Ll, Huiying; Xu, Xudong] Chinese Acad Sci, Inst Hydrobiol, State Key Lab Freshwater Ecol &amp; Biotechnol, Wuhan 430072, Peoples R China</t>
  </si>
  <si>
    <t>Chinese Academy of Sciences; Institute of Hydrobiology, CAS</t>
  </si>
  <si>
    <t>Hu, HH (corresponding author), Chinese Acad Sci, Inst Hydrobiol, State Key Lab Freshwater Ecol &amp; Biotechnol, Wuhan 430072, Peoples R China.</t>
  </si>
  <si>
    <t>hanhuahu@ihb.ac.cn</t>
  </si>
  <si>
    <t>hu, han hua/0000-0002-8485-7591</t>
  </si>
  <si>
    <t>INT PHYCOLOGICAL SOC</t>
  </si>
  <si>
    <t>LAWRENCE</t>
  </si>
  <si>
    <t>NEW BUSINESS OFFICE, PO BOX 1897, LAWRENCE, KS 66044-8897 USA</t>
  </si>
  <si>
    <t>0031-8884</t>
  </si>
  <si>
    <t>Phycologia</t>
  </si>
  <si>
    <t>10.2216/07-28.1</t>
  </si>
  <si>
    <t>250GU</t>
  </si>
  <si>
    <t>WOS:000252288800004</t>
  </si>
  <si>
    <t>Körner, C</t>
  </si>
  <si>
    <t>Koerner, Christian</t>
  </si>
  <si>
    <t>Winter crop growth at low temperature may hold the answer for alpine treeline formation</t>
  </si>
  <si>
    <t>PLANT ECOLOGY &amp; DIVERSITY</t>
  </si>
  <si>
    <t>Background: Undisturbed high elevation treelines follow a common growing season isotherm, irrespective of latitude. Small stature plants thrive at much higher elevations because they grow in a favourable microclimate near the ground, whereas trees are aerodynamically coupled to free atmospheric circulation, hence the uniform treeline elevation in a given region. Aims: I argue that the treeline results from tree architecture and not from a tree-specific inferior physiology. At tissue level, all cold adapted higher plants (including winter crops) face similar temperature related limitations and are constrained by similar thermal thresholds. Methods: In order to explore this hypothesis, winter rape and winter oat were grown in the field and the daily rate of leaf expansion was measured during early winter, with temperatures similar to those at treeline at the beginning of the growing season ( monthly mean temperature of 5 degrees C). Results: Leaves of these winter crops only grew when the degree hours above 5 degrees C for a given day exceeded zero. Rape and oats showed very similar responses. The data support a common temperature threshold for tissue formation in winter crops and treeline trees. Conclusions: A literature survey revealed lower temperature thresholds (close to freezing point) in arctic and Antarctic algae. It appears that the formation of complex, partly lignified tissue does not happen below 5 degrees C, whereas such temperatures exert little constraints on photosynthesis. The study illustrates that tissue growth in winter crops can help understand growth of treeline trees, given that both exhibit similar minimum temperature requirements for meristem functioning.</t>
  </si>
  <si>
    <t>Univ Basel, Inst Bot, CH-4056 Basel, Switzerland</t>
  </si>
  <si>
    <t>University of Basel</t>
  </si>
  <si>
    <t>Körner, C (corresponding author), Univ Basel, Inst Bot, Hebelstr 1, CH-4056 Basel, Switzerland.</t>
  </si>
  <si>
    <t>ch.koerner@unibas.ch</t>
  </si>
  <si>
    <t>Körner, Christian/B-6592-2014</t>
  </si>
  <si>
    <t>Körner, Christian/0000-0001-7768-7638</t>
  </si>
  <si>
    <t>1755-0874</t>
  </si>
  <si>
    <t>PLANT ECOL DIVERS</t>
  </si>
  <si>
    <t>Plant Ecol. Divers.</t>
  </si>
  <si>
    <t>10.1080/17550870802273411</t>
  </si>
  <si>
    <t>389YV</t>
  </si>
  <si>
    <t>WOS:000262132400002</t>
  </si>
  <si>
    <t>Tarling, GA; Cuzin-Roudy, J</t>
  </si>
  <si>
    <t>Tarling, G. A.; Cuzin-Roudy, J.</t>
  </si>
  <si>
    <t>External parasite infestation depends on moult-frequency and age in Antarctic krill (Euphausia superba)</t>
  </si>
  <si>
    <t>POLAR BIOLOGY</t>
  </si>
  <si>
    <t>population structure; body length; eye diameter; moult cycle; sexual development; age; suctorian; Ephelota sp; parasite load; South Georgia; Scotia sea</t>
  </si>
  <si>
    <t>NATURAL GROWTH-RATES; MEGANYCTIPHANES-NORVEGICA; NORTHERN KRILL; OVARIAN DEVELOPMENT; BODY LENGTH; CYCLE; DANA; STRATEGIES; SHRINKAGE; BAY</t>
  </si>
  <si>
    <t>Levels of infestation by the suctorian Ephelota sp. were determined in Antarctic krill taken in the north-eastern region of the Scotia sea, close to the island of South Georgia. Individuals caught in summer between 2002 and 2004 were measured for body length, eye diameter, moult stage, sex, sexual maturity and number of suctorian parasites. All krill samples were found to contain at least two modal size-classes and the complete range of maturity- and moult stages. Sample analysis for the different characters identified moult stage as an important determinant of infestation by Ephelota sp., with 66% of those about to moult (pre-moult individuals) being infested compared with 0% of post-moult individuals. Multiple Correspondence Analysis also identified a strong link between age and degree of suctorian infestation with large-eyed (and hence old) males having very high numbers of suctorian bodies. Moulting is costly in terms of energy and vulnerability, but it is believed that krill moult at relatively high rates throughout their life to facilitate growth and shrinkage. Here, we demonstrate that the control of external parasitism is also a major advantage of moulting at high frequency. The capacity of krill to maintain a high moult rate decreases with age, leading to older krill enduring higher parasitic loads.</t>
  </si>
  <si>
    <t>British Antarctic Survey, Natl Environm Res Council, Cambridge CB3 0ET, England; Univ Paris 06, CNRS, Observ Oceanol, UMR 7093, F-06230 Villefranche Sur Mer, France</t>
  </si>
  <si>
    <t>UK Research &amp; Innovation (UKRI); Natural Environment Research Council (NERC); NERC British Antarctic Survey; Centre National de la Recherche Scientifique (CNRS); CNRS - National Institute for Earth Sciences &amp; Astronomy (INSU); Sorbonne Universite</t>
  </si>
  <si>
    <t>Tarling, GA (corresponding author), British Antarctic Survey, Natl Environm Res Council, High Cross,Madingly Rd, Cambridge CB3 0ET, England.</t>
  </si>
  <si>
    <t>gant@bas.ac.uk</t>
  </si>
  <si>
    <t>0722-4060</t>
  </si>
  <si>
    <t>1432-2056</t>
  </si>
  <si>
    <t>POLAR BIOL</t>
  </si>
  <si>
    <t>Polar Biol.</t>
  </si>
  <si>
    <t>10.1007/s00300-007-0339-2</t>
  </si>
  <si>
    <t>Biodiversity Conservation; Ecology</t>
  </si>
  <si>
    <t>Biodiversity &amp; Conservation; Environmental Sciences &amp; Ecology</t>
  </si>
  <si>
    <t>235JW</t>
  </si>
  <si>
    <t>WOS:000251231000001</t>
  </si>
  <si>
    <t>Sato-Okoshi, W; Okoshi, K</t>
  </si>
  <si>
    <t>Sato-Okoshi, Waka; Okoshi, Kenji</t>
  </si>
  <si>
    <t>Characteristics of shell microstructure and growth analysis of the Antarctic bivalve Laternula elliptica from Lutzow-Holm Bay, Antarctica</t>
  </si>
  <si>
    <t>Laternula elliptica; growth performance; shell microstructure; fluorescent method; chondrophore</t>
  </si>
  <si>
    <t>STABLE ISOTOPES; VALIDATION; INCREMENTS; MARKER; ISLAND; SOUND</t>
  </si>
  <si>
    <t>Growth performance of the Antarctic bivalve Laternula elliptica was examined both by shell microstructural observation and by applying a fluorescent substance, tetracycline, as a shell growth marker. The shell was composed of two calcareous layers: the thick outer layer was homogeneous or granular in structure and the thin inner layer was nacreous. The architecture of Antarctic L. elliptica was different from that of temperate L. marilina, and the ratio of thickness between the outer and inner layers appeared to be different. The growth rate of the nacreous layer was analyzed to be very low. High correlations were found between the major axis of chondrophore and both shell length and shell dry weight, respectively. It is suggested that the chondrophore is an appropriate growth indicator, and combining the information of growth increments with the fluorescent method may be useful in estimating the bivalve growth performance in the Antarctic sea.</t>
  </si>
  <si>
    <t>Tohoku Univ, Grad Sch Agr Sci, Aquat Ecol Lab, Sendai, Miyagi 9818555, Japan; Ishinomaki Senshu Univ, Dept Biol Engn, Ishinomaki 9868580, Japan</t>
  </si>
  <si>
    <t>Sato-Okoshi, W (corresponding author), Tohoku Univ, Grad Sch Agr Sci, Aquat Ecol Lab, Sendai, Miyagi 9818555, Japan.</t>
  </si>
  <si>
    <t>wsokoshi@bios.tohoku.ac.jp</t>
  </si>
  <si>
    <t>10.1007/s00300-007-0340-9</t>
  </si>
  <si>
    <t>WOS:000251231000002</t>
  </si>
  <si>
    <t>Nyakatya, MJ; McGeoch, MA</t>
  </si>
  <si>
    <t>Nyakatya, M. J.; McGeoch, M. A.</t>
  </si>
  <si>
    <t>Temperature variation across Marion Island associated with a keystone plant species (Azorella selago Hook. (Apiaceae))</t>
  </si>
  <si>
    <t>microclimate; microhabitat temperatures; climate change; cushion plant; sub-Antarctic</t>
  </si>
  <si>
    <t>CLIMATE-CHANGE; RESPONSES; CONSEQUENCES; COMMUNITIES; VEGETATION; SURVIVAL; RANGES; IMPACT</t>
  </si>
  <si>
    <t>Microclimate is the most appropriate measure of climate affecting species. Understanding microclimate variation is essential for predicting effects of climate change on species. This study examined (1) variation in microclimate temperatures associated with Azorella selago Hook. (Apiaceae) across Marion Island, (2) differences between microclimate temperature and meteorological station temperatures, and (3) effect of A. selago on microclimate temperatures. Microclimate temperatures were shown to vary significantly with altitude and island side. The microclimate associated with A. selago was also more extreme than meteorological station temperature ranges suggest. A. selago was shown to ameliorate temperature conditions compared to those on the ground. Given the biotic differences that have been documented between the sides of Marion Island, this finding argues strongly for improved understanding of spatial variability in Marion Island's climate. Such understanding is particularly critical given the rapid rate of climate change currently being experienced by the island.</t>
  </si>
  <si>
    <t>Univ Stellenbosch, Dept Conservat Ecol &amp; Entomol, ZA-7602 Matieland, South Africa</t>
  </si>
  <si>
    <t>Stellenbosch University</t>
  </si>
  <si>
    <t>McGeoch, MA (corresponding author), Univ Stellenbosch, Dept Conservat Ecol &amp; Entomol, Private Bag 11, ZA-7602 Matieland, South Africa.</t>
  </si>
  <si>
    <t>mcgeoch@sun.ac.za</t>
  </si>
  <si>
    <t>McGeoch, Melodie/F-8353-2011</t>
  </si>
  <si>
    <t>McGeoch, Melodie/0000-0003-3388-2241</t>
  </si>
  <si>
    <t>10.1007/s00300-007-0341-8</t>
  </si>
  <si>
    <t>WOS:000251231000003</t>
  </si>
  <si>
    <t>Robertson, G; Moreno, CA; Lawton, K; Kirkwood, R; Valencia, J</t>
  </si>
  <si>
    <t>Robertson, Graham; Moreno, Carlos A.; Lawton, Kieran; Kirkwood, Roger; Valencia, Jose</t>
  </si>
  <si>
    <t>Comparison of census methods for black-browed albatrosses breeding at the Ildefonso Archipelago, Chile</t>
  </si>
  <si>
    <t>Ildefonso Archipelago; albatross census methods; photographic counts; yacht-based counts; ground counts; quadrat sampling; point-distance sampling</t>
  </si>
  <si>
    <t>SEABIRD MORTALITY; FISHERY; ISLAND</t>
  </si>
  <si>
    <t>A breeding population of black-browed albatrosses has been known to exist at the Ildefonso Archipelago, Chile, for &gt; 90 years but the population has never been censused using scientifically defendable methods. To estimate population size, and examine the accuracy and practicality of various census methods, the population was censused in the 2002/2003 breeding season using (a) ground-truthed aerial photography, (b) yacht-based photography, (c) ground counts, (d) quadrat sampling and (e) point-distance sampling. Compared to ground-truthed aerial photography (judged the most accurate) yacht-based photography underestimated population size by 55%, ground counts by 13%, quadrat sampling by 11% and point-distance sampling by 9%. Ground-truthed air photography revealed that in the 2002/2003 breeding season 47,000 pairs of black-browed albatrosses bred at the Ildefonso Archipelago. A repeat aerial census in 2006 suggested the size of the breeding population had not changed in the 4 years between the two censuses. After the Falkland Islands/Islas Malvinas, South Georgia and Diego Ramirez, the Ildefonso Archipelago holds the fourth largest population of black-browed albatrosses in the world.</t>
  </si>
  <si>
    <t>[Robertson, Graham; Lawton, Kieran] Australian Antarctic Div, Channel Highway, Kingston, Tas 7050, Australia; [Moreno, Carlos A.] Univ Austral Chile, Inst Ecol &amp; Evoluc, Valdivia, Chile; [Kirkwood, Roger] Philip Isl Nat Pk, Cowes, Vic 3922, Australia; [Valencia, Jose] Inst Antarct Chileno, Punta Arenas, Chile</t>
  </si>
  <si>
    <t>Australian Antarctic Division; Universidad Austral de Chile</t>
  </si>
  <si>
    <t>Robertson, G (corresponding author), Australian Antarctic Div, Channel Highway, Kingston, Tas 7050, Australia.</t>
  </si>
  <si>
    <t>Valencia, Jose/IAO-2562-2023</t>
  </si>
  <si>
    <t>Kirkwood, Roger/0000-0003-4221-4050</t>
  </si>
  <si>
    <t>10.1007/s00300-007-0342-7</t>
  </si>
  <si>
    <t>WOS:000251231000004</t>
  </si>
  <si>
    <t>Gilbert, C; Robertson, G; Le Maho, Y; Ancel, A</t>
  </si>
  <si>
    <t>Gilbert, Caroline; Robertson, Graham; Le Maho, Yvon; Ancel, Andre</t>
  </si>
  <si>
    <t>How do weather conditions affect the huddling behaviour of emperor penguins?</t>
  </si>
  <si>
    <t>huddling behaviour; ambient temperatures; wind speed; Emperor penguin; Antarctica</t>
  </si>
  <si>
    <t>INDIVIDUAL DISTANCE; BODY-TEMPERATURE; THERMOREGULATION; SWALLOW; ABSENCE</t>
  </si>
  <si>
    <t>Huddling allows emperor penguins to conserve energy and survive their long winter fast while facing harsh climatic conditions. Here we report the first investigation into the effects of changes in wind speed and ambient temperature on different components of penguin huddling behaviour. We attached light and temperature recorders to male emperor penguins at the Pointe Geologie colony, Antarctica, which recorded huddling events. We then compared the frequency, duration, occurrence and intensity of huddling bouts, with ambient air temperatures and wind speeds. Huddling occurrence increased with lower ambient temperatures and higher wind speeds, whereas huddling intensity was mainly enhanced by lower ambient temperatures. Moreover, huddling group movements were linked to wind direction and its global density to lower ambient temperatures. Hence, emperor penguins complex huddling behaviour was modulated differently depending on these two parameters. Weather conditions may then affect emperor penguins ability to save energy and survive their winter fast.</t>
  </si>
  <si>
    <t>Univ Strasbourg, CNRS, IPHC DEPE, UMR 7178, F-67087 Strasbourg, France; Australian Antarctic Div, Kingston, Tas 7050, Australia</t>
  </si>
  <si>
    <t>Universites de Strasbourg Etablissements Associes; Universite de Strasbourg; Centre National de la Recherche Scientifique (CNRS); CNRS - National Institute of Nuclear and Particle Physics (IN2P3); Australian Antarctic Division</t>
  </si>
  <si>
    <t>Gilbert, C (corresponding author), Univ Strasbourg, CNRS, IPHC DEPE, UMR 7178, 23 Rue Becquerel, F-67087 Strasbourg, France.</t>
  </si>
  <si>
    <t>caroline.gilbert@c-strasbourg.fr</t>
  </si>
  <si>
    <t>Gilbert, Caroline/HKV-2124-2023</t>
  </si>
  <si>
    <t>Gilbert, Caroline/0000-0002-9957-405X</t>
  </si>
  <si>
    <t>10.1007/s00300-007-0343-6</t>
  </si>
  <si>
    <t>WOS:000251231000005</t>
  </si>
  <si>
    <t>Clark, MS; Fraser, KPP; Burns, G; Peck, LS</t>
  </si>
  <si>
    <t>Clark, Melody S.; Fraser, Keiron P. P.; Burns, Gavin; Peck, Lloyd S.</t>
  </si>
  <si>
    <t>The HSP70 heat shock response in the Antarctic fish Harpagifer antarcticus</t>
  </si>
  <si>
    <t>Antarctic; climate change; stenothermal; heat shock protein; marine</t>
  </si>
  <si>
    <t>GENE-EXPRESSION; TREMATOMUS-BERNACCHII; MOLECULAR CHAPERONES; PROTEIN EXPRESSION; NEW-ZEALAND; STRESS; TOLERANCE; FAMILY; TEMPERATURE; SEQUENCE</t>
  </si>
  <si>
    <t>Members of the HSP70 gene family comprising the constitutive (HSC70) and inducible (HSP70) genes, plus GRP78 (Glucose-regulated protein 78 kDa) were surveyed for expression levels via Q-PCR after both an acute 2-h heat shock experiment and a time course assay in the Antarctic plunderfish Harpagifer antarcticus. In general, down regulation of all genes was observed during the course of the heat shock experiments. This thermally induced down regulation was particularly acute for the GRP78 gene, which at one time point was more than 100-fold down regulated. These results demonstrate the loss of the heat shock response in H. antarcticus, a basal member of the Notothenioidei. This finding is discussed with reference to the survival of Notothenioids during observed ocean warming and also the reorganisation of cellular protein mechanisms of species living in extreme environments.</t>
  </si>
  <si>
    <t>Clark, MS (corresponding author), British Antarctic Survey, NERC, High Cross,Madingley Rd, Cambridge CB3 0ET, England.</t>
  </si>
  <si>
    <t>mscl@bas.ac.uk</t>
  </si>
  <si>
    <t>Clark, Melody/D-7371-2014</t>
  </si>
  <si>
    <t>Clark, Melody/0000-0002-3442-3824; Fraser, Keiron/0000-0001-5491-8376</t>
  </si>
  <si>
    <t>10.1007/s00300-007-0344-5</t>
  </si>
  <si>
    <t>WOS:000251231000006</t>
  </si>
  <si>
    <t>Smale, DA</t>
  </si>
  <si>
    <t>Smale, Dan A.</t>
  </si>
  <si>
    <t>Continuous benthic community change along a depth gradient in Antarctic shallows: evidence of patchiness but not zonation</t>
  </si>
  <si>
    <t>Antarctica; environmental gradients; subtidal ecology; polar communities; underwater photography</t>
  </si>
  <si>
    <t>KING-GEORGE-ISLAND; SUBLITTORAL EPIFAUNAL COMMUNITIES; SOUTH-SHETLAND-ISLANDS; ICE-FOOT ZONE; SIGNY ISLAND; ALTITUDINAL GRADIENTS; STERECHINUS-NEUMAYERI; MULTIVARIATE-ANALYSIS; POPULATION-STRUCTURE; ADELAIDE ISLAND</t>
  </si>
  <si>
    <t>Many shallow water polar communities demonstrate considerable change along a bathymetric gradient. However, it is currently unclear whether community change is generally continuous or discrete. To determine the nature of community change with depth, extensive photographic surveys at three sites at Adelaide Island, West Antarctic Peninsula, were conducted along a bathymetric gradient of 5-35 m depth. Macroalgae were largely absent at the sites, so only distinguishable macrofauna were counted and analysed. Faunal abundance was greatest at the shallowest stations of the depth transects, whilst richness at both species and phylum level increased with depth. Variability in community structure between replicate transects decreased with depth, so that assemblages at &gt; 25 m depth were more homogenous. Depth had a highly significant effect on total abundance, species richness and community structure, and it is likely that the frequency of ice disturbance, which also decreases with depth, drives this pattern. Overall, high variability between transects at each site was recorded, which suggested considerable patchiness at the scale of tens of meters. Community change along the bathymetric gradient was continuous and no evidence of discrete zones of assemblages was recorded.</t>
  </si>
  <si>
    <t>British Antarctic Survey, Nat Environm Res Council, Cambridge CB3 OET, England</t>
  </si>
  <si>
    <t>Smale, DA (corresponding author), British Antarctic Survey, Nat Environm Res Council, High Cross,Madingley Rd, Cambridge CB3 OET, England.</t>
  </si>
  <si>
    <t>Smale, Dan A/B-3240-2011; Smale, Daniel/Y-2909-2019</t>
  </si>
  <si>
    <t>Smale, Daniel/0000-0003-4157-541X</t>
  </si>
  <si>
    <t>Natural Environment Research Council [dml011000, bas010015] Funding Source: researchfish; NERC [bas010015, dml011000] Funding Source: UKRI</t>
  </si>
  <si>
    <t>10.1007/s00300-007-0346-3</t>
  </si>
  <si>
    <t>WOS:000251231000008</t>
  </si>
  <si>
    <t>Tanabe, Y; Kudoh, S; Imura, S; Fukuchi, M</t>
  </si>
  <si>
    <t>Tanabe, Yukiko; Kudoh, Sakae; Imura, Satoshi; Fukuchi, Mitsuo</t>
  </si>
  <si>
    <t>Phytoplankton blooms under dim and cold conditions in freshwater lakes of East Antarctica</t>
  </si>
  <si>
    <t>OPTICAL-PROPERTIES; SEASONAL DYNAMICS; PLANKTON DYNAMICS; MICROBIAL MATS; PRODUCTIVITY; COMMUNITY; BONNEY; PHOTOSYNTHESIS; CYANOBACTERIA; RADIATION</t>
  </si>
  <si>
    <t>The seasonal variations of limnological (water temperature, light availability, turbidity, and chlorophyll a concentration) parameters were recorded continuously from January 2004 to February 2005 at two freshwater lakes: Oyako-ike and Hotoke-ike, Soya Coast, East Antarctica. Water was in a liquid phase throughout the year, with temperatures ranging from 0 to 10 degrees C. The maximum photosynthetically active radiation in Lake Oyako-ike was 23.16 mol m(-2) day(-1) (at 3.8 m) and Hotoke-ike was 53.01 mol m(-2) day(-1) (at 2.2 m) in summer, and chlorophyll a concentration ranged from ca. 0.5 to 2.5 mu g L-1 (Oyako-ike) and from ca. 0.1 to 0.8 mu g L-1 (Hotoke-ike) during the study period. Increase in chlorophyll a fluorescence occurred under dim-light conditions when the lakes were covered with ice in spring and autumn, but the signals were minimum in ice-free summer in both the lakes. During spring and summer, as a result of decreasing snow cover, the chlorophyll a concentration similarly decreased when PAR was relatively high, following periods of heavy winds. The autumnal and spring increase occurred under different PAR levels (ca. 20-fold and 90-fold stronger, respectively, in autumn in both the lakes). Differences in the autumn and spring increases suggest that the spring algal community is more shade-adapted than the autumn algal community. Antarctic phytoplankton appears especially adapted to low-light levels and inhibited by strong light regimes.</t>
  </si>
  <si>
    <t>Grad Univ Adv Studies, Dept Polar Sci, Itabashi Ku, Tokyo 1738515, Japan; Natl Inst Polar Res, Itabashi Ku, Tokyo 1738515, Japan</t>
  </si>
  <si>
    <t>Graduate University for Advanced Studies - Japan; Research Organization of Information &amp; Systems (ROIS); National Institute of Polar Research (NIPR) - Japan</t>
  </si>
  <si>
    <t>Tanabe, Y (corresponding author), Grad Univ Adv Studies, Dept Polar Sci, Itabashi Ku, Kaga 1,Chome 9-10, Tokyo 1738515, Japan.</t>
  </si>
  <si>
    <t>ukko@nipr.ac.jp</t>
  </si>
  <si>
    <t>10.1007/s00300-007-0347-2</t>
  </si>
  <si>
    <t>WOS:000251231000009</t>
  </si>
  <si>
    <t>Varela, MM; Ramos-Esplá, A</t>
  </si>
  <si>
    <t>Varela, M. M.; Ramos-Espla, A.</t>
  </si>
  <si>
    <t>Didemnum bentarti (Chordata: Tunicata) a new species from the Bellingshausen Sea, Antarctica</t>
  </si>
  <si>
    <t>taxonomy; Tunicates; Didemnidae; Didemnum; tabular key; Bellingshausen Sea; Antarctica</t>
  </si>
  <si>
    <t>A new Antarctic species belonging to the genus Didemnum is described. The material was collected during the BENTART-03 cruise through the Bellingshausen Sea. The geographic and bathymetric distribution of the known Didemnum species from Antarctic and Subantarctic regions and a tabular key for the identification of these species are summarized.</t>
  </si>
  <si>
    <t>Univ Alicante, Ctr Invest Marinas Santa Pola, E-03080 Alicante, Spain</t>
  </si>
  <si>
    <t>Universitat d'Alacant</t>
  </si>
  <si>
    <t>Varela, MM (corresponding author), Univ Alicante, Ctr Invest Marinas Santa Pola, Carretera San Vicente S-N Apdo 99, E-03080 Alicante, Spain.</t>
  </si>
  <si>
    <t>mercedes.varela@ua.es</t>
  </si>
  <si>
    <t>Ramos Espla, Alfonso/P-6885-2014</t>
  </si>
  <si>
    <t>Ramos Espla, Alfonso/0000-0002-6886-218X</t>
  </si>
  <si>
    <t>10.1007/s00300-007-0348-1</t>
  </si>
  <si>
    <t>WOS:000251231000010</t>
  </si>
  <si>
    <t>Jumbam, KR; Terblanche, JS; Deere, JA; Somers, MJ; Chown, SL</t>
  </si>
  <si>
    <t>Jumbam, K. R.; Terblanche, J. S.; Deere, J. A.; Somers, M. J.; Chown, S. L.</t>
  </si>
  <si>
    <t>Critical thermal limits and their responses to acclimation in two sub-Antarctic spiders:: Myro kerguelenensis and Prinerigone vagans</t>
  </si>
  <si>
    <t>DESICCATION RESISTANCE; CLIMATE-CHANGE; MARION ISLAND; TEMPERATURE TOLERANCE; PHENOTYPIC PLASTICITY; OXYGEN LIMITATION; WATER-BALANCE; KELP FLY; DIFFERENTIATION; CURCULIONIDAE</t>
  </si>
  <si>
    <t>Despite the relative richness of spider species across the Southern Ocean islands remarkably little information is available on their biology. Here, the critical thermal limits of an indigenous (Myro kerguelenensis, Desidae) and an introduced (Prinerigone vagans, Linyphiidae) spider species from Marion Island were studied after 7-8 days acclimation to 0, 5, 10 and 15 degrees C. Critical thermal minima (CTMin) were low in these species by comparison with other spiders and insects measured to date, and ranged from -6 to -7 degrees C in M. kerguelenensis and from -7 to -8 degrees C in P. vagans. In contrast, critical thermal maxima (CTMax) were similar to other insects on Marion Island (M. kerguelenensis: 35.0-35.6 degrees C; P. vagans: 35.1-36.0 degrees C), although significantly lower than those reported for other spider species in the literature. The magnitude of acclimation responses in CTMax was lower than those in CTMin for both species and this suggests decoupled responses to acclimation. Whilst not conclusive, the results raise several important considerations: that oxygen limitation of thermal tolerance needs to be more widely investigated in terrestrial species, that indigenous and alien species might differ in the nature and extent of their plasticity, and that upper and lower thermal tolerance limits might be decoupled in spiders as is the case in insects.</t>
  </si>
  <si>
    <t>Walter Sisulu Univ, Dept Zool, Appl Behav &amp; Ecol Lab, ZA-5117 Umtata, South Africa</t>
  </si>
  <si>
    <t>Walter Sisulu University</t>
  </si>
  <si>
    <t>Chown, SL (corresponding author), Univ Stellenbosch, Dept Bot &amp; Zool, Ctr Invas Biol, Private Bag 11, ZA-7602 Matieland, South Africa.</t>
  </si>
  <si>
    <t>slchown@sun.ac.za</t>
  </si>
  <si>
    <t>Terblanche, John/AAB-4457-2020; Chown, Steven/ABD-7646-2021; Deere, Jacques/I-4721-2019; Somers, Michael John/A-1523-2008; Deere, Jacques/C-8128-2009; Chown, Steven/H-3347-2011</t>
  </si>
  <si>
    <t>Deere, Jacques/0000-0001-6736-2223; Terblanche, John/0000-0001-9665-9405; Jumbam, Keafon/0000-0003-1006-6129; /0000-0002-5836-8823; Chown, Steven/0000-0001-6069-5105</t>
  </si>
  <si>
    <t>10.1007/s00300-007-0349-0</t>
  </si>
  <si>
    <t>WOS:000251231000011</t>
  </si>
  <si>
    <t>La Mesa, M; Ashford, J</t>
  </si>
  <si>
    <t>La Mesa, Mario; Ashford, Julian</t>
  </si>
  <si>
    <t>Age and early life history of juvenile scotia sea icefish, Chaenocephalus aceratus, from Elephant and the South Shetland Islands</t>
  </si>
  <si>
    <t>ANTARCTIC FISH; ARC REGION; PART I; VALIDATION; GROWTH; STOCKS; OCEAN</t>
  </si>
  <si>
    <t>The otolith microstructure of juvenile Scotia Sea icefish (Chaenocephalus aceratus) was analyzed from samples collected around Elephant and South Shetland Islands, with the aim to validate previous annual ageing and to give new insight into its early life history timings. Fish were caught by bottom trawl fishing conducted on the continental shelf between 100 and 500 m depth. To determine the timing and position of the first annulus on sagittal otoliths, microincrements were counted on juvenile otoliths previously aged 1+ year old by counting annuli in sectioned otolith. Assuming that microincrements were laid down daily, age ranged from 406 to 578 days in fish measuring 13-19 cm TL, thus corroborating previous results. The relationship between fish size and otolith size/weight was estimated using the least square linear regression method. The relationship between age and otolith size was also estimated to determine the otolith length in 1-year old fish, which was approximately 1.58 mm. In all samples the otolith core was characterized by an evident strong check, assumed to be laid down at the beginning of exogenous feeding of yolk sac larvae. The yolk sac duration estimated from hatch to the first feeding check was longer than other channichthyids, lasting 29-45 days. Hatching dates were backcalculated from the date of capture using the age estimates, indicating C. aceratus sampled off Elephant and South Shetland Islands hatched over a long period lasting from July to December, with a peak in November. As a result, the potential larval dispersion driven by local oceanographic features is discussed.</t>
  </si>
  <si>
    <t>Sez Ancona, I-60125 Ancona, Italy; Old Dominion Univ, Ctr Quantitat Fisheries Ecol, Norfolk, VA 23508 USA</t>
  </si>
  <si>
    <t>Old Dominion University</t>
  </si>
  <si>
    <t>La Mesa, M (corresponding author), Sez Ancona, Largo Fiera Pesca, I-60125 Ancona, Italy.</t>
  </si>
  <si>
    <t>m.lamesa@ismar.cnr.it</t>
  </si>
  <si>
    <t>233 SPRING STREET, NEW YORK, NY 10013 USA</t>
  </si>
  <si>
    <t>10.1007/s00300-007-0351-6</t>
  </si>
  <si>
    <t>WOS:000251231000012</t>
  </si>
  <si>
    <t>Zimmer, I; Wilson, RP; Gilbert, C; Beaulieu, M; Ancel, A; Ploetz, J</t>
  </si>
  <si>
    <t>Zimmer, Ilka; Wilson, Rory P.; Gilbert, Caroline; Beaulieu, Michaeel; Ancel, Andre; Ploetz, Joachim</t>
  </si>
  <si>
    <t>Foraging movements of emperor penguins at pointe geologie, Antarctica</t>
  </si>
  <si>
    <t>foraging distribution; central-place forager; emperor penguin; area-restricted-search; foraging strategies</t>
  </si>
  <si>
    <t>DIVING BEHAVIOR; APTENODYTES-FORSTERI; ROCKHOPPER PENGUINS; SATELLITE TRACKING; MARINE ENDOTHERMS; ADELIE PENGUINS; MAWSON COAST; PATCH USE; PRE-MOLT; SEA-ICE</t>
  </si>
  <si>
    <t>The foraging distributions of 20 breeding emperor penguins were investigated at Pointe Geologie, Terre Adelie, Antarctica by using satellite telemetry in 2005 and 2006 during early and late winter, as well as during late spring and summer, corresponding to incubation, early chick-brooding, late chick-rearing and the adult pre-moult period, respectively. Dive depth records of three post-egg-laying females, two post-incubating males and four late chick-rearing adults were examined, as well as the horizontal space use by these birds. Foraging ranges of chick-provisioning penguins extended over the Antarctic shelf and were constricted by winter pack-ice. During spring ice break-up, the foraging ranges rarely exceeded the shelf slope, although seawater access was apparently almost unlimited. Winter females appeared constrained in their access to open water but used fissures in the sea ice and expanded their prey search effort by expanding the horizontal search component underwater. Birds in spring however, showed higher area-restricted-search than did birds in winter. Despite different seasonal foraging strategies, chick-rearing penguins exploited similar areas as indicated by both a high 'Area-Restricted-Search Index' and high 'Catch Per Unit Effort'. During pre-moult trips, emperor penguins ranged much farther offshore than breeding birds, which argues for particularly profitable oceanic feeding areas which can be exploited when the time constraints imposed by having to return to a central place to provision the chick no longer apply.</t>
  </si>
  <si>
    <t>Alfred Wegener Inst Polar &amp; Marine Res, D-27515 Bremerhaven, Germany; Univ Wales Swansea, Sch Biol Sci, Inst Environm Sustainabil, Swansea SA2 8PP, W Glam, Wales; IPHC, Dept Ecol Physiol &amp; Pathol, CNRS, UMR7178, F-67087 Strasbourg, France; Univ Strasbourg, F-67087 Strasbourg, France</t>
  </si>
  <si>
    <t>Helmholtz Association; Alfred Wegener Institute, Helmholtz Centre for Polar &amp; Marine Research; Swansea University; Centre National de la Recherche Scientifique (CNRS); CNRS - National Institute of Nuclear and Particle Physics (IN2P3); Universites de Strasbourg Etablissements Associes; Universite de Strasbourg; Universites de Strasbourg Etablissements Associes; Universite de Strasbourg</t>
  </si>
  <si>
    <t>Zimmer, I (corresponding author), Alfred Wegener Inst Polar &amp; Marine Res, POB 120161, D-27515 Bremerhaven, Germany.</t>
  </si>
  <si>
    <t>izimmer@awi-bremerhaven.de</t>
  </si>
  <si>
    <t>Gilbert, Caroline/HKV-2124-2023; Beaulieu, Michaël/A-5261-2011</t>
  </si>
  <si>
    <t>Gilbert, Caroline/0000-0002-9957-405X; Beaulieu, Michaël/0000-0002-9948-269X</t>
  </si>
  <si>
    <t>10.1007/s00300-007-0352-5</t>
  </si>
  <si>
    <t>WOS:000251231000013</t>
  </si>
  <si>
    <t>Pociecha, A; Dumont, HJ</t>
  </si>
  <si>
    <t>Pociecha, Agnieszka; Dumont, Henri J.</t>
  </si>
  <si>
    <t>Life cycle of Boeckella poppei mrazek and Branchinecta gaini daday (King george island, south shetlands)</t>
  </si>
  <si>
    <t>Boeckella poppei; Branchinecta gaini; environmental factors; freshwater lake; Antarctica; life cycles</t>
  </si>
  <si>
    <t>ANTARCTICA; ECOSYSTEMS; PENINSULA</t>
  </si>
  <si>
    <t>In Lake Wujka, a shallow, polymictic Antarctic lake situated at 15 m from the seashore, several yearly cohorts occur of the copepod Boeckella poppei and one of the fairy shrimp Branchinecta gaini. There is circumstantial evidence that the two species compete for food, and perhaps adult fairy shrimp feed on the nauplii of the copepod. Both species are positively influenced by a measure of salinity. However, when autumn storms massively sweep seawater into the lake, all fairy shrimp are wiped out; no hatching occurs until next spring. In B. poppei, some nauplii and copepodites survive or hatch after the salt flows out of the lake. This is an advantage to the copepod that may balance its coexistence with the shrimp. Its cycle is, however, aborted by the freezing of the lake. In contrast to many other Antarctic lakes, the life cycle of the crustaceans is therefore controlled by salinity rather than freezing.</t>
  </si>
  <si>
    <t>PAS, Dept Freshwater Biol, Inst Nat Conservat, PL-31120 Krakow, Poland; PAS, Dept Antarct Biol, PL-02141 Warsaw, Poland; Univ Ghent, B-9000 Ghent, Belgium</t>
  </si>
  <si>
    <t>Polish Academy of Sciences; Polish Academy of Sciences; Ghent University</t>
  </si>
  <si>
    <t>Pociecha, A (corresponding author), PAS, Dept Freshwater Biol, Inst Nat Conservat, A Mickiewicz Ave 33, PL-31120 Krakow, Poland.</t>
  </si>
  <si>
    <t>pociecha@iop.krakow.pl; henri.dumont@ugent.be</t>
  </si>
  <si>
    <t>Pociecha, Agnieszka/0000-0002-0208-8806</t>
  </si>
  <si>
    <t>10.1007/s00300-007-0360-5</t>
  </si>
  <si>
    <t>WOS:000251231000014</t>
  </si>
  <si>
    <t>Bester, MN; de Clercq, H; Hofmeyr, GJG; de Bruyn, PJN</t>
  </si>
  <si>
    <t>Bester, Marthan N.; de Clercq, Hendrik; Hofmeyr, G. J. Greg; de Bruyn, P. J. Nico</t>
  </si>
  <si>
    <t>Leucistic southern elephant seal at Marion island?</t>
  </si>
  <si>
    <t>Mirounga leonina; white colour morph; Marion Island</t>
  </si>
  <si>
    <t>PRINCE-EDWARD-ISLAND; ANTARCTIC FUR SEALS; MIROUNGA-LEONINA; ARCTOCEPHALUS-GAZELLA; OCEAN; HAULOUT; NUMBERS</t>
  </si>
  <si>
    <t>An extraordinary light coloured, young southern elephant seal Mirounga leonina was seen at Marion Island during the 2004 austral spring. This is the second record of an extraordinary white colour morph for the species here. It was not unequivocally established that the animal was leucistic.</t>
  </si>
  <si>
    <t>Univ Pretoria, Dept Zool &amp; Entomol, Mammal Res Inst, ZA-0002 Pretoria, South Africa; SA Inst Steel Construct, ZA-2109 Melville, South Africa</t>
  </si>
  <si>
    <t>University of Pretoria</t>
  </si>
  <si>
    <t>Bester, MN (corresponding author), Univ Pretoria, Dept Zool &amp; Entomol, Mammal Res Inst, ZA-0002 Pretoria, South Africa.</t>
  </si>
  <si>
    <t>mnbester@zoology.up.ac.za</t>
  </si>
  <si>
    <t>de Bruyn, P. J. Nico/E-4176-2010; Hofmeyr, G. J. Greg/AAV-3286-2020; Bester, Marthán N/E-5387-2010</t>
  </si>
  <si>
    <t>de Bruyn, P. J. Nico/0000-0002-9114-9569; Hofmeyr, G. J. Greg/0000-0003-0283-6058;</t>
  </si>
  <si>
    <t>10.1007/s00300-007-0380-1</t>
  </si>
  <si>
    <t>WOS:000251231000016</t>
  </si>
  <si>
    <t>Meiklejohn, KI; Smith, VR</t>
  </si>
  <si>
    <t>Meiklejohn, K. I.; Smith, V. R.</t>
  </si>
  <si>
    <t>Surface areas of altitudinal zones on sub-Antarctic Marion Island</t>
  </si>
  <si>
    <t>SOILS</t>
  </si>
  <si>
    <t>Univ Pretoria, Dept Geog Geoinformat &amp; Meteorol, ZA-0002 Pretoria, South Africa; Univ Stellenbosch, Dept Bot &amp; Zool, ZA-7602 Matieland, South Africa</t>
  </si>
  <si>
    <t>University of Pretoria; Stellenbosch University</t>
  </si>
  <si>
    <t>Meiklejohn, KI (corresponding author), Univ Pretoria, Dept Geog Geoinformat &amp; Meteorol, ZA-0002 Pretoria, South Africa.</t>
  </si>
  <si>
    <t>ian.meiklejohn@up.ac.za</t>
  </si>
  <si>
    <t>Meiklejohn, Ian/A-1482-2008; Meiklejohn, Ian/F-3183-2012</t>
  </si>
  <si>
    <t>Meiklejohn, Ian/0000-0001-8890-2938</t>
  </si>
  <si>
    <t>10.1007/s00300-007-0389-5</t>
  </si>
  <si>
    <t>WOS:000251231000017</t>
  </si>
  <si>
    <t>Lazzara, MA; Jezek, KC; Scambos, TA; Macayeal, DR; Van der Veen, CJ</t>
  </si>
  <si>
    <t>Lazzara, M.; Jezek, K.; Scambos, T.; Macayeal, D.; Van der Veen, C.</t>
  </si>
  <si>
    <t>On the recent calving of icebergs from the Ross ice shelf</t>
  </si>
  <si>
    <t>POLAR GEOGRAPHY</t>
  </si>
  <si>
    <t>DYNAMICS; RETREAT</t>
  </si>
  <si>
    <t>The year 2000 has witnessed the calving of several remarkably large icebergs in the Ross and Weddell seas of Antarctica, including the calving of B-l 5, possibly the largest iceberg yet to be observed. Here we present satellite imagery that records the calving, and precursor events leading up to the detachment of B-l 5 from the Ross Ice Shelf in late March 2000. These images suggest that the evolution of a network of large rifts on the ice shelf over the decade prior to calving has controlled both the time of calving and the giant size of B-15. What controls this evolution in turn remains a mystery.</t>
  </si>
  <si>
    <t>[Lazzara, M.] Univ Wisconsin Madison, Space Sci &amp; Engn Ctr, Antarctic Meteorol Res Ctr, Madison, WI 53706 USA; [Jezek, K.; Van der Veen, C.] Ohio State Univ, Byrd Polar Res Ctr, Columbus, OH 43210 USA; [Jezek, K.] Ohio State Univ, Dept Geol Sci, Columbus, OH 43210 USA; [Scambos, T.] Univ Colorado, Natl Snow &amp; Ice Data Ctr, Boulder, CO 80309 USA; [Macayeal, D.] Univ Chicago, Dept Geophys Sci, Chicago, IL 60637 USA; [Van der Veen, C.] Ohio State Univ, Dept Geog, Columbus, OH 43210 USA</t>
  </si>
  <si>
    <t>University of Wisconsin System; University of Wisconsin Madison; University System of Ohio; Ohio State University; University System of Ohio; Ohio State University; University of Colorado System; University of Colorado Boulder; University of Chicago; University System of Ohio; Ohio State University</t>
  </si>
  <si>
    <t>Lazzara, MA (corresponding author), Univ Wisconsin Madison, Space Sci &amp; Engn Ctr, Antarctic Meteorol Res Ctr, Madison, WI 53706 USA.</t>
  </si>
  <si>
    <t>Scambos, Ted A/B-1856-2009</t>
  </si>
  <si>
    <t>MacAyeal, Douglas/0000-0003-0647-6176; SCAMBOS, Ted A./0000-0003-4268-6322; Lazzara, Matthew/0000-0002-4343-498X</t>
  </si>
  <si>
    <t>1088-937X</t>
  </si>
  <si>
    <t>1939-0513</t>
  </si>
  <si>
    <t>POLAR GEOGR</t>
  </si>
  <si>
    <t>Polar Geogr.</t>
  </si>
  <si>
    <t>10.1080/10889370802175937</t>
  </si>
  <si>
    <t>V64LG</t>
  </si>
  <si>
    <t>WOS:000211101900003</t>
  </si>
  <si>
    <t>Grosswald, MG; Hughes, TJ</t>
  </si>
  <si>
    <t>Grosswald, Mikhail; Hughes, Terence</t>
  </si>
  <si>
    <t>The case for an ice shelf in the pleistocene Arctic Ocean</t>
  </si>
  <si>
    <t>LATE QUATERNARY GLACIATION; QUEEN-ELIZABETH-ISLANDS; BARENTS SEA; POSTGLACIAL EMERGENCE; YERMAK PLATEAU; ICEBERG PLOWMARKS; NORTHERN BARENTS; NOVAYA-ZEMLYA; KARA SEA; SHEET</t>
  </si>
  <si>
    <t>During Pleistocene glacial maxima, including the last glacial maximum, a thick floating ice shelf covered all or most of the deep Arctic Ocean. This conclusion is based on a preponderance of results from field and modeling studies. Of special importance are recent discoveries in the Arctic Ocean: the deep ice plowmarks on the submarine Yermak Plateau and Chukchi Borderland, and the evidence for sediment erosion and overconsolidation on the top of Lomonosov Ridge. In our view, they all are clear signatures of a former ice shelf that became grounded at these sites. While floating in the Arctic Ocean, the ice shelf would have exerted backpressure against any marine ice sheets that may have been grounded on circum- Arctic continental shelves, in particular against grounded ice streams, checking their instability, damping their surges, and deflecting their flow. At the close of glacial time, ice- shelf disintegration permitted ice- stream surges, making it possible for erratic- laden icebergs to reach the central Arctic. These features are those of an Arctic Ice Sheet that acted as a unified dynamic system, as the Antarctic Ice Sheet acts today. The Arctic Ice Sheet consisted of marine ice domes grounded on the continental shelf in the western Arctic and an ice shelf that spread across the Arctic Ocean basin and grounded against the continental shelf in the eastern Arctic. This grounding would dam Eurasian rivers flowing toward the Arctic. If the ice- dammed lakes then became frozen to the bed, marine ice domes would eventually form on the continental shelf of the eastern Arctic. However, there is evidence that these Eurasian marine ice domes formed and collapsed repeatedly between 24 ka and 12 ka, suggesting that these domes were highly unstable.</t>
  </si>
  <si>
    <t>[Grosswald, Mikhail] Russian Acad Sci, Inst Geog, Moscow 109017, Russia; [Hughes, Terence] Univ Maine, Dept Geol Studies, Orono, ME 04469 USA; [Hughes, Terence] Univ Maine, Inst Quaternary Studies, Orono, ME 04469 USA</t>
  </si>
  <si>
    <t>Institute of Geography, Russian Academy of Sciences; Russian Academy of Sciences; University of Maine System; University of Maine Orono; University of Maine System; University of Maine Orono</t>
  </si>
  <si>
    <t>Grosswald, MG (corresponding author), Russian Acad Sci, Inst Geog, Moscow 109017, Russia.</t>
  </si>
  <si>
    <t>10.1080/10889370802175929</t>
  </si>
  <si>
    <t>WOS:000211101900006</t>
  </si>
  <si>
    <t>Klein, AG; Kennicutt, MC; Wolff, GA; Sweet, ST; Bloxom, T; Gielstra, DA; Cleckley, M</t>
  </si>
  <si>
    <t>Klein, Andrew G.; Kennicutt, Mahlon C., II; Wolff, Gary A.; Sweet, Steve T.; Bloxom, Tiffany; Gielstra, Dianna A.; Cleckley, Marietta</t>
  </si>
  <si>
    <t>The historical development of McMurdo station, Antarctica, an environmental perspective</t>
  </si>
  <si>
    <t>McMurdo Station is the logistics hub of the United States Antarctic Program, and localized environmental impacts have accompanied its nearly 50 years of continuous operation. An extensive collection of aerial photographs were used to map changes in the buildings, fuel storage tanks, roads, and physically disturbed areas at McMurdo Station since its establishment in 1956. From 1956 and continuing through the 1960s, rapid expansion of the station occurred. From 1970 until present, the area impacted by human activities has increased but at a much decreased rate. Current station operations are largely confined to areas that had already been impacted in the first 10-15 years of the station operations. The spatio-temporal perspective on McMurdo Station's growth provides a baseline from which future changes in the spatial extent of areas impacted by human activities can be monitored as required by the Protocol on Environmental Protection to the Antarctic Treaty.</t>
  </si>
  <si>
    <t>[Klein, Andrew G.; Bloxom, Tiffany; Gielstra, Dianna A.] Texas A&amp;M Univ, Dept Geog, College Stn, TX 77843 USA; [Kennicutt, Mahlon C., II; Wolff, Gary A.; Sweet, Steve T.] Texas A&amp;M, Geochem &amp; Environm Res Grp, College Stn, TX USA; [Cleckley, Marietta] Uniondale High Sch, Uniondale, NY USA</t>
  </si>
  <si>
    <t>Texas A&amp;M University System; Texas A&amp;M University College Station; Texas A&amp;M University System; Texas A&amp;M University College Station</t>
  </si>
  <si>
    <t>Klein, AG (corresponding author), Texas A&amp;M Univ, Dept Geog, College Stn, TX 77843 USA.</t>
  </si>
  <si>
    <t>klein@geog.tamu.edu</t>
  </si>
  <si>
    <t>Klein, Andrew/AGK-9609-2022</t>
  </si>
  <si>
    <t>Sweet, Stephen/0000-0002-1441-8198; Klein, Andrew/0000-0003-3804-8205</t>
  </si>
  <si>
    <t>National Science Foundation [OPP-9909445]</t>
  </si>
  <si>
    <t>This work was funded by National Science Foundation Grant (OPP-9909445). The authors wish to acknowledge the tremendous support provided by all Antarctic support personnel who made this research possible. Guy Guthride (NSF) provided useful information on science support at McMurdo and Patrick Haggerty (NSF), provided information on the planned improvements to fuel storage infrastructure at the station.</t>
  </si>
  <si>
    <t>10.1080/10889370802579856</t>
  </si>
  <si>
    <t>V64LO</t>
  </si>
  <si>
    <t>WOS:000211102700002</t>
  </si>
  <si>
    <t>Carpine-Lancre, J; Barr, W</t>
  </si>
  <si>
    <t>Carpine-Lancre, Jacqueline; Barr, William</t>
  </si>
  <si>
    <t>The Arctic cruises of Prince Albert I of Monaco</t>
  </si>
  <si>
    <t>POLAR RECORD</t>
  </si>
  <si>
    <t>From an early age, Prince Albert I of Monaco evinced a strong fascination for the polar regions. But it was only after 1898 that he was able to mount four scientific cruises to Svalbard on his yacht, the second Princesse-Alice. The first cruise was an oceanographical and zoological reconnaissance, aimed mainly at adding to the collections of the Musee oceanographique de Monaco, the construction of which had just started. In 1899, the focus was on the hydrography and topography of Raudfjorden, of which a map was published. In 1906, meteorology was added to the range of observations and surveys were pursued. The Prince also provided support for two other expeditions, that of the Norwegian, Gunnar Isachsen, to northwestern Spitsbergen, and that of the Scotsman, William Bruce, to Prins Karls Forland. The Prince's expedition in 1907 was aimed at completing the results from the previous summer. Prince Albert also lent his support, either financially, or through gifts or loans of oceanographic instruments, to numerous Arctic and Antarctic explorers. Finally, he showed a keen interest in environmental protection, especially in Svalbard. This is demonstrated by his responses to a questionnaire that Hugo Conwentz sent him in 1912.</t>
  </si>
  <si>
    <t>[Barr, William] Univ Calgary, Arctic Inst N Amer, Calgary, AB T2N 1N4, Canada</t>
  </si>
  <si>
    <t>University of Calgary</t>
  </si>
  <si>
    <t>Carpine-Lancre, J (corresponding author), 7 Sq Kraemer, F-06240 Beausoleil, France.</t>
  </si>
  <si>
    <t>jacala@libertysurf.fr</t>
  </si>
  <si>
    <t>0032-2474</t>
  </si>
  <si>
    <t>1475-3057</t>
  </si>
  <si>
    <t>POLAR REC</t>
  </si>
  <si>
    <t>POLAR REC.</t>
  </si>
  <si>
    <t>10.1017/S0032247407006961</t>
  </si>
  <si>
    <t>290NH</t>
  </si>
  <si>
    <t>WOS:000255129000001</t>
  </si>
  <si>
    <t>Greenslade, P; Melbourne, BA; Davies, KF; Stevens, MI</t>
  </si>
  <si>
    <t>Greenslade, Penelope; Melbourne, Brett A.; Davies, Kendi F.; Stevens, Mark I.</t>
  </si>
  <si>
    <t>The status of two exotic terrestrial Crustacea on sub-Antarctic Macquarie Island</t>
  </si>
  <si>
    <t>AMPHIPODA; DECOMPOSITION; TALITRIDAE; ECOSYSTEM; LITTER; MINERALIZATION; INVERTEBRATE; ETHICS; RECORD</t>
  </si>
  <si>
    <t>Two terrestrial Crustacea, Puhuruhuru patersoni (Amphipoda: Talitridae) and Styloniscus otakensis (Isopoda: Styloniscidae), were discovered on sub-Antarctic Macquarie Island in 1991 and 1992, respectively. Each species was identified as having been described, and previously only known, from South Island, New Zealand and from some of New Zealand's southern offshore islands. The distributions of the two species on Macquarie Island have been mapped in detail on four occasions over the last fifteen years, each mapping extending previously existing distributions or showing changes from the earlier records. Details of all four years' mapping are figured. It is concluded that these species were most likely introduced between 1810 and 1919 and that populations of the amphipod have not expanded to any extent in the twelve years between 1992 and 2004 but that the isopod has slightly increased its range. Both species are macrodetritivores, a trophic group not well represented on the island, so there is the possibility of an irreversible change to the Macquarie Island ecosystem if they become more widespread with warming climates. However no such change has yet been observed. The advantages and feasibility of removing these two exotic species from the island is discussed, as are the possible routes by which the species were introduced to the island.</t>
  </si>
  <si>
    <t>[Greenslade, Penelope] Australian Natl Univ, Sch Bot &amp; Zool, Canberra, ACT 0200, Australia; [Melbourne, Brett A.; Davies, Kendi F.] Univ Colorado, Dept Ecol &amp; Evolut Biol, Boulder, CO 80309 USA; [Stevens, Mark I.] Massey Univ, Allan Wilson Ctr Mol Ecol &amp; Evolut, Palmerston North, New Zealand</t>
  </si>
  <si>
    <t>Australian National University; University of Colorado System; University of Colorado Boulder; Massey University</t>
  </si>
  <si>
    <t>Greenslade, P (corresponding author), Australian Natl Univ, Sch Bot &amp; Zool, GPO Box 4, Canberra, ACT 0200, Australia.</t>
  </si>
  <si>
    <t>Melbourne, Brett/KBQ-9784-2024</t>
  </si>
  <si>
    <t>Melbourne, Brett/0000-0002-8843-4131</t>
  </si>
  <si>
    <t>10.1017/S0032247407006778</t>
  </si>
  <si>
    <t>WOS:000255129000002</t>
  </si>
  <si>
    <t>Howkins, A</t>
  </si>
  <si>
    <t>Howkins, Adrian</t>
  </si>
  <si>
    <t>Defending polar empire: opposition to India's proposal to raise the 'Antarctic Question' at the United Nations in 1956</t>
  </si>
  <si>
    <t>This paper examines the international response to India's 1956 proposal to raise the 'Antarctic Question' at the United Nations. It focuses in particular on the uneasy alliance that developed between the British Commonwealth and Latin America in opposition to the Indian proposal. Although Great Britain, Argentina, and Chile were bitterly disputing the sovereignty of the Antarctic Peninsula region, they shared a common desire to keep the southern continent off the agenda of the United Nations. This ability to work together for common goals, despite their differences, set an important precedent for the Antarctic Treaty that would be signed in 1959. In this way, opposition to the Indian proposal, more than the proposal itself, played an important role in the history of Antarctica in the 1950s. Latin American opposition to the proposal helped to fragment any 'anti-imperial' coalition that might have developed in Antarctica. This fragmentation helps us to place the Antarctic Treaty System into the framework of post-colonial studies.</t>
  </si>
  <si>
    <t>Univ Texas Austin, Dept Hist, Austin, TX 78712 USA</t>
  </si>
  <si>
    <t>Howkins, A (corresponding author), Univ Texas Austin, Dept Hist, 1 Univ Stn B7000, Austin, TX 78712 USA.</t>
  </si>
  <si>
    <t>10.1017/S0032247407006766</t>
  </si>
  <si>
    <t>WOS:000255129000004</t>
  </si>
  <si>
    <t>Villela, RJ</t>
  </si>
  <si>
    <t>Villela, Rubeus J.</t>
  </si>
  <si>
    <t>A further Antarctic myth</t>
  </si>
  <si>
    <t>Villela, RJ (corresponding author), Rua Madre Teodora 265, BR-01428010 Sao Paulo, Brazil.</t>
  </si>
  <si>
    <t>10.1017/S003224740700695X</t>
  </si>
  <si>
    <t>WOS:000255129000008</t>
  </si>
  <si>
    <t>Goldman, HV</t>
  </si>
  <si>
    <t>Goldman, Helle V.</t>
  </si>
  <si>
    <t>From the editor: halfway through the IPY-halfway for an Antarctic traverse</t>
  </si>
  <si>
    <t>POLAR RESEARCH</t>
  </si>
  <si>
    <t>OPEN ACADEMIA AB</t>
  </si>
  <si>
    <t>SPANGA</t>
  </si>
  <si>
    <t>STORMBYVAGEN 6, SPANGA, SE-163 55, SWEDEN</t>
  </si>
  <si>
    <t>0800-0395</t>
  </si>
  <si>
    <t>1751-8369</t>
  </si>
  <si>
    <t>POLAR RES</t>
  </si>
  <si>
    <t>Polar Res.</t>
  </si>
  <si>
    <t>10.1111/j.1751-8369.2008.00048.x</t>
  </si>
  <si>
    <t>Ecology; Geosciences, Multidisciplinary; Oceanography</t>
  </si>
  <si>
    <t>Environmental Sciences &amp; Ecology; Geology; Oceanography</t>
  </si>
  <si>
    <t>286JC</t>
  </si>
  <si>
    <t>WOS:000254841200001</t>
  </si>
  <si>
    <t>Chwedorzewska, KJ; Bednarek, PT</t>
  </si>
  <si>
    <t>Chwedorzewska, Katarzyna J.; Bednarek, Piotr T.</t>
  </si>
  <si>
    <t>Genetic variability in the Antarctic hairgrass Deschampsia antarctica Desv. from maritime Antarctic and Subantarctic sites</t>
  </si>
  <si>
    <t>POLISH JOURNAL OF ECOLOGY</t>
  </si>
  <si>
    <t>Deschampsia antarctica Desv.; AFLP; genetic diversity; Antarctica</t>
  </si>
  <si>
    <t>COLOBANTHUS-QUITENSIS; VASCULAR PLANTS; ACCUMULATION; POACEAE</t>
  </si>
  <si>
    <t>The level of polymorphism, genetic variability and relatedness of the Antarctic hairgrass Deschampsia antarctica Desv. populations from South Shetlands Is. (King George I., Penguin I., Livingstone I.), from vicinity of Antarctic Peninsula (Galindez I., Uruguay I.), and Falklands Is. (Jason Is., Sealion I.) were studied using the AFLP approach. Six EcoRI/MseI type selective primer pairs combinations were used for AFLP profiling and amplified scoreable DNA fragments; than AMOVA and PCA were performed. The level of molecular variability among all individuals from all the analysed populations was low and reach only 5.4 % irrespective of the distance between the localities and it was not significant at a broader geographical scale, even among the three groups of populations (South Shetlands Is., vicinity of Antarctic Peninsula, and Falklands Is.). PCA analysis shows that all populations formed uniform groups according to their locations.</t>
  </si>
  <si>
    <t>[Chwedorzewska, Katarzyna J.] Polish Acad Sci, Dept Antarctic Biol, PL-02141 Warsaw, Poland; [Bednarek, Piotr T.] Plant Breeding &amp; Acclimatizat Inst, PL-05870 Warsaw, Poland</t>
  </si>
  <si>
    <t>Polish Academy of Sciences; Institute of Plant Breeding &amp; Acclimatization</t>
  </si>
  <si>
    <t>Chwedorzewska, KJ (corresponding author), Polish Acad Sci, Dept Antarctic Biol, Ustrzycka 10-12, PL-02141 Warsaw, Poland.</t>
  </si>
  <si>
    <t>kchwedorzewska@go2.pl</t>
  </si>
  <si>
    <t>Chwedorzewska, Katarzyna/M-9721-2019; Bednarek, Piotr/A-9523-2009; Chwedorzewska, Katarzyna J/A-9480-2008</t>
  </si>
  <si>
    <t>Chwedorzewska, Katarzyna/0000-0001-6860-3666;</t>
  </si>
  <si>
    <t>POLISH ACAD SCIENCES INST ECOLOGY</t>
  </si>
  <si>
    <t>LOMIANKI</t>
  </si>
  <si>
    <t>DZIEKANOW LESNY NEAR WARSAW, 05-092 LOMIANKI, POLAND</t>
  </si>
  <si>
    <t>1505-2249</t>
  </si>
  <si>
    <t>POL J ECOL</t>
  </si>
  <si>
    <t>Pol. J. Ecol.</t>
  </si>
  <si>
    <t>316OM</t>
  </si>
  <si>
    <t>WOS:000256959500002</t>
  </si>
  <si>
    <t>Komárek, J; Elster, J</t>
  </si>
  <si>
    <t>Komarek, Jiri; Elster, Josef</t>
  </si>
  <si>
    <t>Ecological background of cyanobacterial assemblages of the northern part of James Ross Island, Antarctica</t>
  </si>
  <si>
    <t>POLISH POLAR RESEARCH</t>
  </si>
  <si>
    <t>Antarctica; cyanobacteria; ecology; environmental conditions; distribution</t>
  </si>
  <si>
    <t>DRY VALLEY LAKES; HOPE BAY; DIVERSITY; PHOTOSYNTHESIS; PERIPHYTON; PENINSULA; PONDS; MATS; ICE</t>
  </si>
  <si>
    <t>An investigation of cyanobacterial microflora. in the northern, deglaciated part of James Ross Island in the NW part of the Weddell Sea, Antarctica, was conducted during the Antarctic summer season 2005-2006. Five main types of habitats with dominant cyanobacterial assemblages were analyzed (soils, seepages, streams, wetted rocky walls and lakes), and main ecological variables were measured (pH, temperature, intensity of global radiation, conductivity and nutrients), as a background for further ecological and ecophysiological studies. The definable traditional cyanobacterial morphospecies were identified.</t>
  </si>
  <si>
    <t>[Komarek, Jiri] Akad Ceske Republ, Bot Ustav, Ctr Algol, CZ-37982 Trebon, Czech Republic; Jihoceska Univ, Fak Biol, CZ-37982 Trebon, Czech Republic</t>
  </si>
  <si>
    <t>Czech Academy of Sciences; University of South Bohemia Ceske Budejovice</t>
  </si>
  <si>
    <t>Komárek, J (corresponding author), Akad Ceske Republ, Bot Ustav, Ctr Algol, Dukelska 135, CZ-37982 Trebon, Czech Republic.</t>
  </si>
  <si>
    <t>komarek@butbn.cas.cz; jelster@butbn.cas.cz</t>
  </si>
  <si>
    <t>Komarek, Jiri/H-1597-2014; Elster, Josef/B-1031-2008</t>
  </si>
  <si>
    <t>Elster, Josef/0000-0002-4535-5636</t>
  </si>
  <si>
    <t>PANSTWOWE WYDAWNICTWO NAUKOWE</t>
  </si>
  <si>
    <t>WARSAW</t>
  </si>
  <si>
    <t>MIODOWA 10, 00-251 WARSAW, POLAND</t>
  </si>
  <si>
    <t>0138-0338</t>
  </si>
  <si>
    <t>POL POLAR RES</t>
  </si>
  <si>
    <t>Pol. Polar. Res.</t>
  </si>
  <si>
    <t>312JL</t>
  </si>
  <si>
    <t>WOS:000256666300003</t>
  </si>
  <si>
    <t>Kuklinski, P; Barnes, DKA</t>
  </si>
  <si>
    <t>Kuklinski, Piotr; Barnes, David K. A.</t>
  </si>
  <si>
    <t>Structure of intertidal and subtidal assemblages in Arctic vs temperate boulder shores</t>
  </si>
  <si>
    <t>Arctic; North Atlantic; boulder-fields; biodiversity; assemblages similarity</t>
  </si>
  <si>
    <t>SPECIES RICHNESS; MARINE; DISTURBANCE; COMPETITION; DIVERSITY; PATTERNS; COMMUNITIES; ORGANISMS; PREDATION; IMPACT</t>
  </si>
  <si>
    <t>Several studies suggest that assemblages in intertidal zones that experience frequent physical extremes (e.g. wave-impacts) should be highly dependent on the regional input of propagules. Therefore with higher disturbance in the intertidal zone, higher dependence on the species pool from nearby assemblages (e.g. subtidal) should be observed. Here we examine adult Community structure to investigate levels of similarity among marine assemblages of Arctic intertidal zones compared with those in adjacent subtidal areas. Additionally we compare Arctic results with similar data from a temperate area. We selected boulder fields as a model habitat and we predicted that subtidal and intertidal diversity would change differently under varying disturbance regimes. Multivariate analysis of data from Arctic and temperate North Atlantic indicates that in the Arctic, intertidal and subtidal assemblages were more similar to each other than were temperate intertidal and subtidal assemblages. We suggest this is not because of species differences but that the temperate areas are less disturbed. The wave and ice battered, highly disturbed intertidal assemblages of the Arctic were composed of a subset of nearby subtidal assemblages with similar dominance structure. Intertidal specialist species were not found in the Arctic samples. In contrast, temperate intertidal boulder-field assemblages had a completely different dominance structure to the adjacent subtidal. Furthermore, temperate intertidal assemblages were composed of different (specialist) species often not found in the subtidal zone. We conclude that more disturbed environments, such as our Arctic study sites, are more dependent on Outside sources of recruitment.</t>
  </si>
  <si>
    <t>[Kuklinski, Piotr] Polish Acad Sci, Inst Oceanol, PL-81712 Sopot, Poland; [Barnes, David K. A.] British Antarctic Survey, NERC, Cambridge CB3 0ET, England</t>
  </si>
  <si>
    <t>Polish Academy of Sciences; Institute of Oceanology of the Polish Academy of Sciences; UK Research &amp; Innovation (UKRI); Natural Environment Research Council (NERC); NERC British Antarctic Survey</t>
  </si>
  <si>
    <t>Kuklinski, P (corresponding author), Polish Acad Sci, Inst Oceanol, Powstancow Warszawy 55, PL-81712 Sopot, Poland.</t>
  </si>
  <si>
    <t>kuki@iopan.gda.pl; dkab@bas.ac.uk</t>
  </si>
  <si>
    <t>Kuklinski, Piotr/0000-0002-1507-215X</t>
  </si>
  <si>
    <t>European Commission's programme Transnational Access to Major Research Infrastructures; European Commission's programme Structuring the European Research Area [N N304 270434]; Natural Environment Research Council [dml011000] Funding Source: researchfish</t>
  </si>
  <si>
    <t>European Commission's programme Transnational Access to Major Research Infrastructures(European Union (EU)European Commission Joint Research Centre); European Commission's programme Structuring the European Research Area(European Union (EU)European Commission Joint Research Centre); Natural Environment Research Council(UK Research &amp; Innovation (UKRI)Natural Environment Research Council (NERC))</t>
  </si>
  <si>
    <t>We would like to thank several people without whom this study would not have been possible: Jan Marcin Weslawski, Mariusz and Karol Wegrzynowski,,r Piotr Bochenek, Krzysztof Mlody and Suzanne Williams. Thanks are due to two anonymous referees for their comments on the manuscript. Study was supported by grant from the European Commission's programme Transnational Access to Major Research Infrastructures Trondheim Marine Systems research Infrastructure and has been completed thanks to funding provided by grant DYNARC from European Commission's programme Structuring the European Research Area and grant from the Polish Ministry of Science and Higher Education (N N304 270434) to PK.</t>
  </si>
  <si>
    <t>POLSKA AKAD NAUK, POLISH ACAD SCIENCES</t>
  </si>
  <si>
    <t>WARSZAWA</t>
  </si>
  <si>
    <t>PL DEFILAD 1, WARSZAWA, 00-901, POLAND</t>
  </si>
  <si>
    <t>2081-8262</t>
  </si>
  <si>
    <t>357JF</t>
  </si>
  <si>
    <t>WOS:000259841400001</t>
  </si>
  <si>
    <t>Majdanski, M; Sroda, P; Malinowski, M; Czuba, W; Grad, M; Guterch, A; Hegedus, E</t>
  </si>
  <si>
    <t>Majdanski, Mariusz; Sroda, Piotr; Malinowski, Michal; Czuba, Wojciech; Grad, Marek; Guterch, Aleksander; Hegedus, Endre</t>
  </si>
  <si>
    <t>3D seismic model of the uppermost crust of the Admiralty Bay area, King George Island, West Antarctica</t>
  </si>
  <si>
    <t>Antarctica; King George Island; seismic tomography; crustal structure; wide angle experiment</t>
  </si>
  <si>
    <t>PENINSULA; PLATE</t>
  </si>
  <si>
    <t>The understanding of the evolution of Antarctica is one of the main challenges in Earth sciences and the structure of its crust is a key to investigate the tectonic processes. One of the most interesting areas of the West Antarctica is the transition from the oceanic crust of the Pacific Plate to the continental crust of the Antarctic Peninsula through the South Shetland Trench and the volcanic arc of the South Shetland Islands toward the Bransfield Strait rift. In 2007, a 3D seismic survey was performed in the Admiralty Bay (King George Island, South Shetland Islands). It targeted the shallow crustal structure of the volcanic arc. The air-gun shots were recorded using 47 seismic land stations in two deployments. Good quality data allowed for 3D tomographic modelling of the study area. Sonar measurements data were used to generate the bathymetry. The first-arrival travel times were inverted for the P-wave velocity models using two different methods: smooth seismic tomography with the use of the Iterative Back Projection code (IBP) and tomography with layers (JIVE3D). Obtained velocity anomalies are correlated with the fault structures determined from surface mapping. We were able to trace the Ezcurra Fault down to the depth of 2 km and to recognize the velocities related to the Barton Horst (4.5 km/s) and the Warszawa and Krakow blocks (3.5 km/s). The Mackellar Fault can not be recognized in the deeper part of our model. The estimation of the model uncertainty indicates that the inferred fault structures are resolvable by our dataset.</t>
  </si>
  <si>
    <t>[Majdanski, Mariusz; Sroda, Piotr; Malinowski, Michal; Czuba, Wojciech; Grad, Marek; Guterch, Aleksander] Polish Acad Sci, Inst Geofiz, PL-01452 Warsaw, Poland; [Grad, Marek] Univ Warsaw, Inst Geofiz, PL-02093 Warsaw, Poland; [Hegedus, Endre] Eotvos Lorand Geophys Inst Hungary, H-1145 Budapest, Hungary</t>
  </si>
  <si>
    <t>Polish Academy of Sciences; Institute of Geophysics of the Polish Academy of Sciences; University of Warsaw</t>
  </si>
  <si>
    <t>Majdanski, M (corresponding author), Polish Acad Sci, Inst Geofiz, Ksiecia Janusza 64, PL-01452 Warsaw, Poland.</t>
  </si>
  <si>
    <t>mmajd@igf.fuw.edu.pl; psroda@igf.edu.pl; michalm@igf.edu.pl; wojt@igf.edu.pl; mgrad@mimuw.edu.pl; aguterch@igf.edu.pl; hegedus@elgi.hu</t>
  </si>
  <si>
    <t>Majdanski, Mariusz/G-1501-2014; Malinowski, Michal/A-8761-2012; Czuba, Wojciech/A-1757-2008</t>
  </si>
  <si>
    <t>Majdanski, Mariusz/0000-0002-8909-4407; Malinowski, Michal/0000-0002-7190-3683;</t>
  </si>
  <si>
    <t>a preparatory Polish scientific programme [PBZ-KBN-108/P04/2004]</t>
  </si>
  <si>
    <t>a preparatory Polish scientific programme</t>
  </si>
  <si>
    <t>This experiment was a part of the project PBZ-KBN-108/P04/2004 - a preparatory Polish scientific programme before the International Polar Year. We would like to thank the Captain and the crew of the M/S Polar Pioneer. For map preparation and coordinate calculations we used GMT software (Wessel and Smith 1998). We thank Dr Michael Behm and Dr Timo Tiira for carefully reviewing the manuscript.</t>
  </si>
  <si>
    <t>388TH</t>
  </si>
  <si>
    <t>WOS:000262041600001</t>
  </si>
  <si>
    <t>Chwedorzewska, KJ; Gielwanowska, I; Szczuka, E; Bochenek, A</t>
  </si>
  <si>
    <t>Chwedorzewska, Katarzyna J.; Gielwanowska, Irena; Szczuka, Ewa; Bochenek, Anna</t>
  </si>
  <si>
    <t>High anatomical and low genetic diversity in Deschampsia antarctica Desv. from King George Island, the Antarctic</t>
  </si>
  <si>
    <t>Antarctic; Deschampsia antarctica; morphology; anatomical features; leaf; root; AFLP</t>
  </si>
  <si>
    <t>FEATURES; SVALBARD; POACEAE</t>
  </si>
  <si>
    <t>Morphological, anatomical, and genetic differences between Deschampsia antarctica Desv. (Poaceae) growing in the Antarctic in dry site as well as plants of the same species growing near the seashore were investigated. The plants from the two microhabitats were found to differ morphologically in size and in the arrangement, shape, and color of the leaves. The leaves of plants growing in the dry site had stronger xerophytic features than those growing in the wet site. The anatomical structure of the root of plants growing in wet conditions showed strong reaction to stress factors operating at the seashore. Molecular profiling of D. antarctica individuals showed low variability within the analysed populations. The results of the present study conclude that the two different forms of D. antarctica are ecotypes.</t>
  </si>
  <si>
    <t>[Chwedorzewska, Katarzyna J.; Gielwanowska, Irena] Polish Acad Sci, Zakland Biol Antarktyki, PL-02141 Warsaw, Poland; [Gielwanowska, Irena; Bochenek, Anna] Uniwersytet Warminsko Mazurski, Katedra Fizjol &amp; Biotechnol Roslin, PL-10719 Olsztyn, Poland; [Szczuka, Ewa] Uniwersytet Marii Curie Sklodowskiej, Zaklad Anat &amp; Cytol Roslin, PL-20033 Lublin, Poland</t>
  </si>
  <si>
    <t>Polish Academy of Sciences; Maria Curie-Sklodowska University</t>
  </si>
  <si>
    <t>Chwedorzewska, KJ (corresponding author), Polish Acad Sci, Zakland Biol Antarktyki, Ustrzycka 10-12, PL-02141 Warsaw, Poland.</t>
  </si>
  <si>
    <t>kchwedorzewska@o2.pl; i.gielwanowska@uwm.edu.pl</t>
  </si>
  <si>
    <t>Chwedorzewska, Katarzyna/M-9721-2019; Chwedorzewska, Katarzyna J/A-9480-2008</t>
  </si>
  <si>
    <t>Chwedorzewska, Katarzyna/0000-0001-6860-3666; Szczuka, Ewa/0000-0002-0042-6656; Gielwanowska, Irena/0000-0002-9001-1285</t>
  </si>
  <si>
    <t>[IPY/26/2007]</t>
  </si>
  <si>
    <t>This research was supported by grant number IPY/26/2007.</t>
  </si>
  <si>
    <t>POLISH ACAD SCIENCES COMMITTEE POLAR RESEARCH</t>
  </si>
  <si>
    <t>KSIECIA JANUSZA 64, 01-452 WARSAW, POLAND</t>
  </si>
  <si>
    <t>WOS:000262041600004</t>
  </si>
  <si>
    <t>Swain, MR; Roche, D; Guillon, M; Lanford, E; Knepper, K; Olson, V; Little, P</t>
  </si>
  <si>
    <t>Richichi, A; Delplancke, F; Paresce, F; Chelli, A</t>
  </si>
  <si>
    <t>Swain, M. R.; Roche, D.; Guillon, M.; Lanford, E.; Knepper, K.; Olson, V.; Little, P.</t>
  </si>
  <si>
    <t>Deploying an Antarctic interferometer</t>
  </si>
  <si>
    <t>POWER OF OPTICAL/IR INTERFEROMETRY: RECENT SCIENTIFIC RESULTS AND 2ND GENERATION INSTRUMENTATION</t>
  </si>
  <si>
    <t>ESO ASTROPHYSICS SYMPOSIA</t>
  </si>
  <si>
    <t>ESO Workshop 2005</t>
  </si>
  <si>
    <t>APR 04-08, 2005</t>
  </si>
  <si>
    <t>Garching, GERMANY</t>
  </si>
  <si>
    <t>[Swain, M. R.] Observ Grenoble, Astrophys Lab, Grenoble, France; [Roche, D.; Guillon, M.; Lanford, E.; Knepper, K.; Olson, V.; Little, P.] Harvey Mudd Coll, Claremont, CA USA</t>
  </si>
  <si>
    <t>Communaute Universite Grenoble Alpes; Universite Grenoble Alpes (UGA); Claremont Colleges; Harvey Mudd College</t>
  </si>
  <si>
    <t>Swain, MR (corresponding author), Observ Grenoble, Astrophys Lab, Grenoble, France.</t>
  </si>
  <si>
    <t>mark.swain@obs.ujf-grenob1e.fr; plittle@hmc.edu</t>
  </si>
  <si>
    <t>978-3-540-74253-1</t>
  </si>
  <si>
    <t>ESO ASTROPHY SYMP</t>
  </si>
  <si>
    <t>10.1007/978-3-540-74256-2_81</t>
  </si>
  <si>
    <t>Astronomy &amp; Astrophysics; Instruments &amp; Instrumentation</t>
  </si>
  <si>
    <t>BGZ08</t>
  </si>
  <si>
    <t>WOS:000251420400081</t>
  </si>
  <si>
    <t>du Foresto, VC; Monnier, J; Swain, M; Vakili, F</t>
  </si>
  <si>
    <t>du Foresto, V. Coude; Monnier, J.; Swain, M.; Vakili, F.</t>
  </si>
  <si>
    <t>Antarctic interferometry: Science demonstration from the Concordia station</t>
  </si>
  <si>
    <t>The high antarctic plateau has recently been identified as the best accessible ground-based location for high angular infrared observations: extremely dry atmosphere, low sky emission, low and slow turbulence, large isoplanetic angle, are properties that make it possible to consider observations that could otherwise only be carried out from space (such as the detection of exoplanets in the habitable zone of nearby stars). This would require a major infrastucture which needs to be prepared by a lower scale pathfinder, for which we present here one option.</t>
  </si>
  <si>
    <t>[du Foresto, V. Coude] Observ Paris, LESIA, UMR 8109, F-92195 Meudon, France; [Monnier, J.] LAOG, UMR 5571, U Joseph Fourier, F-38041 Grenoble, France; [Swain, M.] U Michigan Ann Arbor, Ann Arbor, MI 48109 USA; [Vakili, F.] Univ Nice, LUAN, UMR 6525, F-06108 Nice 2, France</t>
  </si>
  <si>
    <t>Centre National de la Recherche Scientifique (CNRS); CNRS - National Institute for Earth Sciences &amp; Astronomy (INSU); Sorbonne Universite; Universite PSL; Observatoire de Paris; Universite Paris Cite; Communaute Universite Grenoble Alpes; Universite Grenoble Alpes (UGA); Universite Cote d'Azur; Observatoire de la Cote d'Azur</t>
  </si>
  <si>
    <t>du Foresto, VC (corresponding author), Observ Paris, LESIA, UMR 8109, F-92195 Meudon, France.</t>
  </si>
  <si>
    <t>vincent.foresto@obspm.fr</t>
  </si>
  <si>
    <t>WOS:000251420400083</t>
  </si>
  <si>
    <t>Zubakin, GK; Egorov, AG; Ivanov, VV; Lebedev, AA; Buzin, IV; Eide, LI</t>
  </si>
  <si>
    <t>Chung, JS</t>
  </si>
  <si>
    <t>Zubakin, G. K.; Egorov, A. G.; Ivanov, V. V.; Lebedev, A. A.; Buzin, I. V.; Eide, L. I.</t>
  </si>
  <si>
    <t>Formation of the severe ice conditions in the southwestern Kara Sea</t>
  </si>
  <si>
    <t>PROCEEDINGS OF THE EIGHTEENTH (2008) INTERNATIONAL OFFSHORE AND POLAR ENGINEERING CONFERENCE, VOL 1</t>
  </si>
  <si>
    <t>International Offshore and Polar Engineering Conference Proceedings</t>
  </si>
  <si>
    <t>18th International Offshore and Polar Engineering Conference (ISOPE 2008)</t>
  </si>
  <si>
    <t>JUL 06-11, 2008</t>
  </si>
  <si>
    <t>Vancouver, CANADA</t>
  </si>
  <si>
    <t>Ice cover; severe ice conditions; criteria; large-scale atmospheric processes</t>
  </si>
  <si>
    <t>Present work is devoted to the study of natural conditions influencing formation of the heaviest ice seasons in the southwestern Kara Sea. The generalized indices characterizing the state of ice during the natural ice cycle (autumn - winter - summer) were estimated on the base of analysis of the natural and statistical criteria and the from year to year continuance of natural conditions. 10 severe years were chosen and detailed analysis of their ice and synoptic conditions was performed. Peculiarities of formation of the severe ice conditions were studied taking into account the multiyear experience of performing the ice regime summaries, accumulated in the course of development of the Russian Arctic seas. The unique and the fullest joint AARI database along with the data of the National Ice Center (USA) was used.</t>
  </si>
  <si>
    <t>[Zubakin, G. K.; Egorov, A. G.; Ivanov, V. V.; Lebedev, A. A.; Buzin, I. V.] State Inst Arctic &amp; Antarctic Res Inst, St Petersburg, Russia</t>
  </si>
  <si>
    <t>Zubakin, GK (corresponding author), State Inst Arctic &amp; Antarctic Res Inst, St Petersburg, Russia.</t>
  </si>
  <si>
    <t>INTERNATIONAL SOCIETY OFFSHORE&amp; POLAR ENGINEERS</t>
  </si>
  <si>
    <t>CUPERTINO</t>
  </si>
  <si>
    <t>PO BOX 189, CUPERTINO, CA 95015-0189 USA</t>
  </si>
  <si>
    <t>1098-6189</t>
  </si>
  <si>
    <t>978-1-880653-70-8</t>
  </si>
  <si>
    <t>INT OFFSHORE POLAR E</t>
  </si>
  <si>
    <t>Engineering, Marine; Engineering, Ocean; Engineering, Petroleum; Environmental Sciences</t>
  </si>
  <si>
    <t>BII77</t>
  </si>
  <si>
    <t>WOS:000259888200094</t>
  </si>
  <si>
    <t>Pebody, M</t>
  </si>
  <si>
    <t>Pebody, M.</t>
  </si>
  <si>
    <t>Autonomous underwater vehicle collision avoidance for under-ice exploration</t>
  </si>
  <si>
    <t>PROCEEDINGS OF THE INSTITUTION OF MECHANICAL ENGINEERS PART M-JOURNAL OF ENGINEERING FOR THE MARITIME ENVIRONMENT</t>
  </si>
  <si>
    <t>autonomous underwater vehicle; underwater robotics; collision avoidance; obstacle avoidance; underwater navigation</t>
  </si>
  <si>
    <t>On 22 August 2004 the Autosub-2 autonomous underwater vehicle (AUV) was on its return leg of a 144 km, 24 h under-ice mission in the Arctic sea over the Northwind Shoal off the northeast Greenland coast when it found its path blocked by a deep ice keel that had drifted across its planned mission route. After three attempts, the Autosub found a way around the keel and continued on its way to rendezvous with its mother ship. This paper reports the development, testing, and operation of collision and obstacle avoidance techniques used in the Arctic and Antarctic under-ice expeditions of the Autosub-2 AUV.</t>
  </si>
  <si>
    <t>Natl Oceanog Ctr Southampton, Natl Marine Facil, Underwater Syst Lab, Southampton SO14 3ZH, Hants, England</t>
  </si>
  <si>
    <t>University of Southampton; NERC National Oceanography Centre</t>
  </si>
  <si>
    <t>Pebody, M (corresponding author), Natl Oceanog Ctr Southampton, Natl Marine Facil, Underwater Syst Lab, European Way, Southampton SO14 3ZH, Hants, England.</t>
  </si>
  <si>
    <t>m.pebody@noc.soton.ac.uk</t>
  </si>
  <si>
    <t>PROFESSIONAL ENGINEERING PUBLISHING LTD</t>
  </si>
  <si>
    <t>WESTMINISTER</t>
  </si>
  <si>
    <t>1 BIRDCAGE WALK, WESTMINISTER SW1H 9JJ, ENGLAND</t>
  </si>
  <si>
    <t>1475-0902</t>
  </si>
  <si>
    <t>P I MECH ENG M-J ENG</t>
  </si>
  <si>
    <t>Proc. Inst. Mech. Eng. Part M- J. Eng. Marit. Environ.</t>
  </si>
  <si>
    <t>M2</t>
  </si>
  <si>
    <t>10.1243/14750902JEME81</t>
  </si>
  <si>
    <t>Engineering, Marine</t>
  </si>
  <si>
    <t>V12MJ</t>
  </si>
  <si>
    <t>WOS:000207603000003</t>
  </si>
  <si>
    <t>Campiotti, CA; Balducchi, R; Dondi, F; Alonzo, G; Catanese, V; Incrocci, L; Bibbiani, C</t>
  </si>
  <si>
    <t>DePascale, S; Mugnozza, GS; Maggio, A; Schettini, E</t>
  </si>
  <si>
    <t>Campiotti, C. A.; Balducchi, R.; Dondi, F.; Alonzo, G.; Catanese, V.; Incrocci, L.; Bibbiani, C.</t>
  </si>
  <si>
    <t>The PULSA (Plant-Based Unit for Life Support in Antarctica): a Sustainable Plant Food Production Technology for Remote and Isolated Environments</t>
  </si>
  <si>
    <t>PROCEEDINGS OF THE INTERNATIONAL SYMPOSIUM ON HIGH TECHNOLOGY FOR GREENHOUSE SYSTEM MANAGEMENT, VOLS 1 AND 2</t>
  </si>
  <si>
    <t>Acta Horticulturae</t>
  </si>
  <si>
    <t>International Symposium on High Technology for Greenhouse System Management (Greensys 2007)</t>
  </si>
  <si>
    <t>OCT 04-06, 2007</t>
  </si>
  <si>
    <t>Naples, ITALY</t>
  </si>
  <si>
    <t>Hydroponic growing system; tomato; lettuce; growth simulator; space plant growth</t>
  </si>
  <si>
    <t>In the last decade ENEA (Italian National Agency for New Technology, Energy and the Environment) has promoted some research projects with the aim to develop a system and a protocol for producing fresh vegetable food in the Italian bases of TNB (Terra Nova Bay) and Dome C (Concordia base) situated in Antarctica, with the main result of the construction of the Plant-based Unit for Life Support in Antarctica (PULSA). The paper reports a brief overview of the main prototypes and software developed with the cooperation of the Universities of Pisa and Palermo. This cooperation had produced the main following products: 1) a complete automatic hydroponic system for plant cultivation in artificial environment (C.H.G.S., Closed Hydroponic Greenhouse System); 2) a recycling wastes unit for the purification of water and the recycling of the residual biomasses produced by hydroponic growing cycles; 3) a complete automated and remote-controlling system for the germination and the production of the plantlets (Box-Nursery); 4) a lettuce growth and yield simulator (SLS). In addition, the paper describes also the last prototypes under development, such as a multilevel hydroponic growing unit and a solar photovoltaic system, developed with the aim to maximize the yield, using also the Light Emitting Diodes (LEDs) as light source for plant crop growth. Considerations and comments on the possibility to use PULSA as scientific platform for research and demonstration activities on plant growth technologies useful for the Space are also reported. All the researches herein presented were financed by the PNRA (Italian National Plan for Antarctic Research).</t>
  </si>
  <si>
    <t>[Campiotti, C. A.; Balducchi, R.; Dondi, F.] ENEA Casaccia, Dept BAS, Via Anguillarese 301, I-00123 Rome, Italy</t>
  </si>
  <si>
    <t>Italian National Agency New Technical Energy &amp; Sustainable Economics Development</t>
  </si>
  <si>
    <t>Campiotti, CA (corresponding author), ENEA Casaccia, Dept BAS, Via Anguillarese 301, I-00123 Rome, Italy.</t>
  </si>
  <si>
    <t>Incrocci, Luca/JKI-3290-2023; BIBBIANI, CARLO/D-6477-2017</t>
  </si>
  <si>
    <t>Incrocci, Luca/0000-0001-9994-763X; CAMPIOTTI, Carlo Alberto/0000-0002-4837-0241; BIBBIANI, CARLO/0000-0002-9730-9498</t>
  </si>
  <si>
    <t>PNRA (Italian National Programme Research in Antarctica)</t>
  </si>
  <si>
    <t>The current project was funded by the PNRA (Italian National Programme Research in Antarctica).</t>
  </si>
  <si>
    <t>INT SOC HORTICULTURAL SCIENCE</t>
  </si>
  <si>
    <t>LEUVEN 1</t>
  </si>
  <si>
    <t>PO BOX 500, 3001 LEUVEN 1, BELGIUM</t>
  </si>
  <si>
    <t>0567-7572</t>
  </si>
  <si>
    <t>2406-6168</t>
  </si>
  <si>
    <t>978-90-6605-621-3</t>
  </si>
  <si>
    <t>ACTA HORTIC</t>
  </si>
  <si>
    <t>10.17660/ActaHortic.2008.801.44</t>
  </si>
  <si>
    <t>Horticulture</t>
  </si>
  <si>
    <t>Agriculture</t>
  </si>
  <si>
    <t>BIV61</t>
  </si>
  <si>
    <t>WOS:000263190000044</t>
  </si>
  <si>
    <t>Mosser, B; Appourchaux, T; Catala, C; Buey, JT</t>
  </si>
  <si>
    <t>Gizon, L; Roth, M</t>
  </si>
  <si>
    <t>Mosser, Benoit; Appourchaux, Thierry; Catala, Claude; Buey, Jean-Tristan</t>
  </si>
  <si>
    <t>SIAMOIS Team</t>
  </si>
  <si>
    <t>SIAMOIS: Seismic Interferometer to Measure Oscillations in the Interior of Stars</t>
  </si>
  <si>
    <t>PROCEEDINGS OF THE SECOND HELAS INTERNATIONAL CONFERENCE: HELIOSEISMOLOGY, ASTEROSEISMOLOGY AND MHD CONNECTIONS</t>
  </si>
  <si>
    <t>Journal of Physics Conference Series</t>
  </si>
  <si>
    <t>International Conference on Helioseismology, Asteroseismology and MHD Connections (HELAS II)</t>
  </si>
  <si>
    <t>AUG 20-24, 2007-2008</t>
  </si>
  <si>
    <t>Gottingen, GERMANY</t>
  </si>
  <si>
    <t>SOLAR-LIKE OSCILLATIONS; P-MODE OSCILLATIONS; MU ARAE; ASTEROSEISMOLOGY; METALLICITY; PHOTOMETRY; EXOPLANETS; PROCYON</t>
  </si>
  <si>
    <t>SIAMOIS is a project devoted to ground-based asteroseismology, involving an instrument to be installed at the Dome C Concordia station in Antarctica. SIAMOIS provides an asteroseismic programme that can follow the way currently opened by the space project CoRoT, with unique information on G and K type bright stars on the main sequence. In addition, spectrometric observations with SIAMOIS will be able to detect oscillation modes that cannot be analyzed in photometry: the Doppler data, less affected by the stellar activity noise, yield a more precise mode structure inversion. The SIAMOIS concept is based on Fourier Transform interferometry. Such a principle leads to a small instrument designed and developed for the harsh conditions in Antarctic. The instrument will be fully automatic, with no moving parts, and a very simple initial set up in Antarctic. The dedicated scientific programme will avoid the complications related to a versatile instrument. Data reduction win be performed in real time, and the transfer of the asteroseismic data to Europe will require only a modest bandwidth. SIAMOIS will observe with a dedicated small 40-cm telescope. Dome C appears to be the ideal place for ground-based asteroseismic observations. The unequalled weather conditions yield a duty cycle as high as 90% over 3 months, as was observed during the 2005 wintering. This high duty cycle, a crucial point for asteroseismology, is comparable to the best space-based observations. Long time series (up to 3 months) will be possible, thanks to the long duration of the polar night. SIAMOIS can be seen as one of the very first observational projects in astronomy at Dome C. Its scientific programme will take full advantage of the unique quality of this site, and will constitute a necessary first step in preparation of future more ambitious programmes requiring more sophisticated instrumentation and larger collectors.</t>
  </si>
  <si>
    <t>[Mosser, Benoit; Catala, Claude; Buey, Jean-Tristan] Univ Paris 07, Univ Paris 06, CNRS, LESIA,Observ Paris, F-92195 Meudon, France; [Appourchaux, Thierry] Univ Paris 11, CNRS, Inst Astrophys Spatiale, F-91405 Orsay, France</t>
  </si>
  <si>
    <t>Universite PSL; Observatoire de Paris; Universite Paris Cite; Centre National de la Recherche Scientifique (CNRS); Sorbonne Universite; Sorbonne Universite; Universite Paris Saclay; Centre National de la Recherche Scientifique (CNRS)</t>
  </si>
  <si>
    <t>Mosser, B (corresponding author), Univ Paris 07, Univ Paris 06, CNRS, LESIA,Observ Paris, F-92195 Meudon, France.</t>
  </si>
  <si>
    <t>benoit.mosser@obspm.fr</t>
  </si>
  <si>
    <t>Mosser, Benoit/0000-0002-7547-1208; Appourchaux, Thierry/0000-0002-1790-1951</t>
  </si>
  <si>
    <t>1742-6588</t>
  </si>
  <si>
    <t>J PHYS CONF SER</t>
  </si>
  <si>
    <t>10.1088/1742-6596/118/1/012042</t>
  </si>
  <si>
    <t>Astronomy &amp; Astrophysics; Geochemistry &amp; Geophysics</t>
  </si>
  <si>
    <t>BKI11</t>
  </si>
  <si>
    <t>WOS:000268177900042</t>
  </si>
  <si>
    <t>Mikhalevich, VI; Peryt, D</t>
  </si>
  <si>
    <t>Kaminski, MA; Coccioni, R</t>
  </si>
  <si>
    <t>Mikhalevich, Valeria I.; Peryt, Danuta</t>
  </si>
  <si>
    <t>Shell Wall Ultrastructure in some Genera of the Order Verneuilinida Mikhalevich &amp; Kaminski, 2004 (Foraminifera). Part 1</t>
  </si>
  <si>
    <t>PROCEEDINGS OF THE SEVENTH INTERNATIONAL WORKSHOP ON AGGLUTINATED FORAMINIFERA</t>
  </si>
  <si>
    <t>Grzybowski Foundation Special Publication</t>
  </si>
  <si>
    <t>7th International Workshop on Agglutinated Foraminifera</t>
  </si>
  <si>
    <t>OCT 02-08, 2005</t>
  </si>
  <si>
    <t>Urbino, ITALY</t>
  </si>
  <si>
    <t>The wall ultrastructure of fifteen Recent and Cretaceous species [Gaudryina laevigata Franke, 1914; G. pyramidata Cushman, 1926; G. triangularis Cushman, 1911; G. quadrangularis Bagg, 1908; G. exilis Cushman &amp; Bronnimann, 1948; G. atlantica (Bailey), 1851; G. siciliana Cushman, 1936; Eggerelloides scaber (Williamson), 1858; Plotnikovina compressa (Cushman), 1935; Karreriella bradyi (Cushman), 1911; Karrerulina apicularis (Cushman), 1911; Martinottiella communis d'Orbigny, 1826; Clavulina crustata Cushman, 1937; Goesella flintii Cushman, 1936; Rudigaudryina inepta Cushman &amp; McCulloch, 1939] belonging to the seven genera of the superfamilies Verneuilinoidea and Valvulinoidea of the order Verneuilinida Mikhalevich &amp; Kaminski, 2004 was studied in SEM. The recent material was represented mainly by species from the Antarctic and tropical/subtropical areas of the Atlantic Ocean, and Upper Cretaceous material from the Sawin (S-25) borehole of SE Poland. In both Recent and fossil specimens some kind of pseudopores as well as inner and outer organic linings were found, although in some of them (Eggerelloides scaber, Karreriella bradyi, Rudigaudryina inepta, Plotnikovina compressa) the pseudopores are visible only under higher magnification (up to x1900). The arrangement and shape of the pseudopores depends mostly on the character of the sand particles constituting the wall and on the amount of cement. Distinct canaliculi in the middle layer of the wall were discovered in four Recent gaudryinid species, in Eggerella, Karreriella, and in Clavulina. In Plotnikovina, regular pseudopores and canaliculi of large diameter are present in the fistulae separating the fistula space from the main chamber lumen. In two Cretaceous species of gaudryinids some traces of canaliculi are also present. The noncanaliculate wall of other species is not fully solid but has irregular or rounded spaces between the sand particles, thus being also permeable. The possibility of using of these structural features of the agglutinated wall in the taxonomy of the order is discussed.</t>
  </si>
  <si>
    <t>[Mikhalevich, Valeria I.] Russian Acad Sci, Inst Zool, St Petersburg 199034, Russia</t>
  </si>
  <si>
    <t>Russian Academy of Sciences; Zoological Institute of the Russian Academy of Sciences</t>
  </si>
  <si>
    <t>Mikhalevich, VI (corresponding author), Russian Acad Sci, Inst Zool, Univ Skaya Nab 1, St Petersburg 199034, Russia.</t>
  </si>
  <si>
    <t>mikha@JS1238.spb.edu; d.peryt@twarda.pan.pl</t>
  </si>
  <si>
    <t>Peryt, Danuta/AAX-7066-2020; Peryt, Danuta/F-9988-2019</t>
  </si>
  <si>
    <t>Peryt, Danuta/0000-0002-5821-1084;</t>
  </si>
  <si>
    <t>GRZYBOWSKI FOUNDATION</t>
  </si>
  <si>
    <t>KRAKOW</t>
  </si>
  <si>
    <t>C/O M A GASINSKI, INST NAUK GEOLOGICZNYCH, UNIWERSYTET JAGIELLONSKI, OLEANDRY 2A, KRAKOW, 30-063, POLAND</t>
  </si>
  <si>
    <t>978-83-924869-3-0</t>
  </si>
  <si>
    <t>GRZYB FOUND SPEC PUB</t>
  </si>
  <si>
    <t>Grzyb. Found. Spec. Publ.</t>
  </si>
  <si>
    <t>BJX75</t>
  </si>
  <si>
    <t>WOS:000267364300012</t>
  </si>
  <si>
    <t>Heath, MR; Rasmussen, J; Ahmed, Y; Allen, J; Anderson, CIH; Brierley, AS; Brown, L; Bunker, A; Cook, K; Davidson, R; Fielding, S; Gurney, WSC; Harris, R; Hay, S; Henson, S; Hirst, AG; Holliday, NP; Ingvarsdottir, A; Irigoien, X; Lindeque, P; Mayor, DJ; Montagnes, D; Moffat, C; Pollard, R; Richards, S; Saunders, RA; Sidey, J; Smerdon, G; Speirs, D; Walsham, P; Waniek, J; Webster, L; Wilson, D</t>
  </si>
  <si>
    <t>Heath, M. R.; Rasmussen, J.; Ahmed, Y.; Allen, J.; Anderson, C. I. H.; Brierley, A. S.; Brown, L.; Bunker, A.; Cook, K.; Davidson, R.; Fielding, S.; Gurney, W. S. C.; Harris, R.; Hay, S.; Henson, S.; Hirst, A. G.; Holliday, N. P.; Ingvarsdottir, A.; Irigoien, X.; Lindeque, P.; Mayor, D. J.; Montagnes, D.; Moffat, C.; Pollard, R.; Richards, S.; Saunders, R. A.; Sidey, J.; Smerdon, G.; Speirs, D.; Walsham, P.; Waniek, J.; Webster, L.; Wilson, D.</t>
  </si>
  <si>
    <t>Spatial demography of Calanus finmarchicus in the Irminger Sea</t>
  </si>
  <si>
    <t>PROGRESS IN OCEANOGRAPHY</t>
  </si>
  <si>
    <t>plankton; oceanography; Atlantic Ocean; Greenland; copepods; mortality; feeding</t>
  </si>
  <si>
    <t>STAGE-SPECIFIC MORTALITY; PLANKTON RECORDER SURVEY; NORTHERN NORTH-ATLANTIC; SCALE PHYSICAL CONTROLS; FREQUENCY TIME-SERIES; EGG-PRODUCTION; LIFE-CYCLE; FATTY-ACIDS; HATCHING SUCCESS; LABRADOR SEA</t>
  </si>
  <si>
    <t>Continuous Plankton Recorder data suggest that the Irminger Sea supports a major proportion of the surface-living population of the copepod Calanus finmarchicus in the northern North Atlantic, but there have been few studies of its population dynamics in the region. In this paper, we document the seasonal changes in the demographic structure of C finmarchicus in the Irminger Sea from a field programme during 2001/2002, and the associations between its developmental stages and various apparent bio-physical zones. Overwintering stages were found widely at depth (&gt;500 m) across the Irminger Sea, and surviving females were widely distributed in the surface waters the following spring. However, recruitment of the subsequent generation was concentrated around the fringes of the Irminger Sea basin, along the edges of the Irminger and East Greenland Currents, and not in the central basin. In late summer animals were found descending back to overwintering depths in the Central Irminger Sea. The key factors dictating this pattern of recruitment appear to be (a) the general circulation regime, (b) predation on eggs in the spring, possibly by the surviving GO stock, and (c) mortality of first feeding naupliar stages in the central basin where food concentrations appear to be low throughout the year. We compared the demographic patterns in 2001/2002 with observations from the only previous major survey in 1963 and with data from the Continuous Plankton Recorder (CPR) surveys. In both previous data sets, the basic structure of GO ascent from the central basin and G1 recruitment around the fringes was a robust feature, suggesting that it is a recurrent phenomenon. The Irminger Sea is a complex mixing zone between polar and Atlantic water masses, and it has also been identified as a site of sporadic deep convection. The physical oceanographic characteristics of the region are therefore potentially sensitive to climate fluctuations. Despite this, the abundance of C finmarchicus in the region, as measured by the CPR surveys, appears not to have responded to climate factors linked to the North Atlantic Oscillation Index, in contrast with the stocks in eastern Atlantic areas. We speculate that this may because biological factors (production and mortality), rather than transport processes are the key factors affecting the population dynamics in the Irminger Sea. (c) 2007 Elsevier Ltd. All rights reserved.</t>
  </si>
  <si>
    <t>[Heath, M. R.; Rasmussen, J.; Cook, K.; Hay, S.; Moffat, C.; Richards, S.; Walsham, P.; Webster, L.] Marine Lab, Fisheries Res Serv, Aberdeen AB11 9DB, Scotland; [Ahmed, Y.] Robert Gordon Univ, Aberdeen AB10 1FR, Scotland; [Allen, J.; Brown, L.; Davidson, R.; Fielding, S.; Henson, S.; Holliday, N. P.; Irigoien, X.; Mayor, D. J.; Pollard, R.; Waniek, J.] Univ Southampton, Natl Oceanog Ctr, Southampton SO14 3ZH, Hants, England; [Anderson, C. I. H.; Brierley, A. S.; Saunders, R. A.] Univ St Andrews, Sch Biol, Gatty Marine Lab, St Andrews KY16 8LB, Fife, Scotland; [Bunker, A.] Heriot Watt Univ, Edinburgh EH14 4AS, Midlothian, Scotland; [Gurney, W. S. C.; Speirs, D.] Univ Strathclyde, Dept Stat &amp; Modelling Sci, Glasgow G1 1XH, Lanark, Scotland; [Harris, R.; Lindeque, P.; Smerdon, G.] Plymouth Marine Lab, Plymouth PL1 3DH, Devon, England; [Hirst, A. G.] British Antarctic Survey, Cambridge CB3 0ET, England; [Ingvarsdottir, A.] Univ Aberdeen, Sch Biol Sci, Aberdeen AB24 2TZ, Scotland; [Montagnes, D.; Wilson, D.] Univ Liverpool, Sch Biol Sci, Liverpool L69 3BX, Merseyside, England; [Sidey, J.] Sir ALister Hardy Fdn Ocean Sci, The Lab, Plymouth PL1 2PB, Devon, England</t>
  </si>
  <si>
    <t>Robert Gordon University; University of Southampton; NERC National Oceanography Centre; University of St Andrews; Heriot Watt University; University of Strathclyde; Plymouth Marine Laboratory; UK Research &amp; Innovation (UKRI); Natural Environment Research Council (NERC); NERC British Antarctic Survey; University of Aberdeen; University of Liverpool</t>
  </si>
  <si>
    <t>Heath, MR (corresponding author), Marine Lab, Fisheries Res Serv, 375 Victoria Rd, Aberdeen AB11 9DB, Scotland.</t>
  </si>
  <si>
    <t>heathmr@marlab.ac.uk</t>
  </si>
  <si>
    <t>Fielding, Sophie/E-5137-2012; Mayor, Daniel/HDN-8520-2022; Rasmussen, Jens/P-2956-2019; Yusuf, Abdullahi/E-4701-2011; Lindeque, Penelope/AAE-9193-2019; Smerdon, Gary/W-2035-2019; Hirst, Andrew G/A-6296-2013; Speirs, Douglas C/D-7526-2013; Waniek, Joanna J/B-2331-2012; Heath, Michael R/D-5765-2013; Irigoien, Xabier/B-8171-2009; Cook, Kathryn Barbara/ISA-2646-2023; Henson, Stephanie/AAC-9709-2019; Holliday, N. Penny/K-4577-2016; Irigoien, Xabier/L-7909-2014; Rasmussen, Jens/N-2460-2014; Brierley, Andrew/G-8019-2011</t>
  </si>
  <si>
    <t>Mayor, Daniel/0000-0002-1295-0041; Yusuf, Abdullahi/0000-0002-8625-6490; Smerdon, Gary/0000-0003-1121-0778; Speirs, Douglas C/0000-0002-4367-1459; Cook, Kathryn Barbara/0000-0001-8590-3011; Holliday, N. Penny/0000-0002-9733-8002; Lindeque, Penelope/0000-0003-1789-7515; Irigoien, Xabier/0000-0002-5411-6741; Rasmussen, Jens/0000-0002-3139-6365; Hirst, Andrew/0000-0001-9132-1886; Heath, Michael/0000-0001-6602-3107; Waniek, Joanna J./0000-0003-3724-073X; Brierley, Andrew/0000-0002-6438-6892</t>
  </si>
  <si>
    <t>Natural Environment Research Council [bas010017, soc010009, soc010012, SAH01001, pml010004, soc010008, pml010001] Funding Source: researchfish; NERC [pml010004, SAH01001, pml010001, soc010008, soc010009, soc010012, bas010017] Funding Source: UKRI</t>
  </si>
  <si>
    <t>0079-6611</t>
  </si>
  <si>
    <t>PROG OCEANOGR</t>
  </si>
  <si>
    <t>Prog. Oceanogr.</t>
  </si>
  <si>
    <t>10.1016/j.pocean.2007.10.001</t>
  </si>
  <si>
    <t>268GJ</t>
  </si>
  <si>
    <t>WOS:000253567000002</t>
  </si>
  <si>
    <t>Merlino, A; Krauss, IR; Castellano, I; De Vendittis, E; Vergara, A; Sica, F</t>
  </si>
  <si>
    <t>Merlino, Antonello; Krauss, Irene Russo; Castellano, Immacolata; De Vendittis, Emmanuele; Vergara, Alessandro; Sica, Filomena</t>
  </si>
  <si>
    <t>Crystallization and Preliminary X-Ray Diffraction Studies of a Psychrophilic Iron Superoxide Dismutase from Pseudoalteromonas haloplanktis</t>
  </si>
  <si>
    <t>PROTEIN AND PEPTIDE LETTERS</t>
  </si>
  <si>
    <t>Iron superoxide dismutase; Pseudoalteromonas haloplanktis; crystallization; cold adaptation; X-ray</t>
  </si>
  <si>
    <t>The Antarctic eubacterium Pseudoalteromonas haloplanktis (Ph) produces a cold-active iron superoxide dismutase (SOD). PhSOD is a homodimeric enzyme, that displays a high catalytic activity even at low temperature. Using hanging-drop vapour-diffusion technique, PhSOD has been successfully crystallized in two different crystal forms. Both crystal forms are monoclinic with space group P2(1) and diffract to 2.1 angstrom resolution. Form I has unit-cell parameters a=45.49 angstrom b=103.63 angstrom c=50.37 angstrom beta=108.2 degrees and contains a homodimer in the asymmetric unit. Form II has unit-cell parameters a=50.48 angstrom b=103.78 angstrom c=90.25 angstrom beta=103.8 degrees and an asymmetric unit containing two PhSOD homodimers. Structure determination has been achieved using molecular replacement. The crystallographic study of this cold-adapted enzyme could contribute to the understanding of the molecular mechanisms of cold-adaptation and of the high catalytic efficiency at low temperature.</t>
  </si>
  <si>
    <t>[Merlino, Antonello; Krauss, Irene Russo; Vergara, Alessandro; Sica, Filomena] Univ Napoli Federico II, Dipartimento Chim, Via Cintia, I-80126 Naples, Italy; [Castellano, Immacolata; De Vendittis, Emmanuele] Univ Napoli Federico II, Dipartimento Biochim &amp; Biotecnol Med, I-80131 Naples, Italy; [Vergara, Alessandro; Sica, Filomena] CNR, Ist Biostrutture &amp; Bioimmagini, I-80134 Naples, Italy</t>
  </si>
  <si>
    <t>University of Naples Federico II; University of Naples Federico II; Consiglio Nazionale delle Ricerche (CNR); Istituto di Biostrutture e Bioimmagini (IBB-CNR)</t>
  </si>
  <si>
    <t>Sica, F (corresponding author), Univ Napoli Federico II, Dipartimento Chim, Via Cintia, I-80126 Naples, Italy.</t>
  </si>
  <si>
    <t>filomena.sica@unina.it</t>
  </si>
  <si>
    <t>Merlino, Antonello/AAI-2114-2020; krauss, irene russo/ABC-9668-2020; Castellano, Immacolata/AAD-5523-2019; Vergara, Alessandro/C-4435-2013</t>
  </si>
  <si>
    <t>krauss, irene russo/0000-0001-8124-6034; Merlino, Antonello/0000-0002-1045-7720; Castellano, Immacolata/0000-0002-4274-6738; Vergara, Alessandro/0000-0003-4135-0245</t>
  </si>
  <si>
    <t>Ministero dell'Universita, Istruzione e Ricerca (PRIN, MIUR Italy)</t>
  </si>
  <si>
    <t>Ministero dell'Universita, Istruzione e Ricerca (PRIN, MIUR Italy)(Ministry of Education, Universities and Research (MIUR))</t>
  </si>
  <si>
    <t>This work was financially supported by grants from Ministero dell'Universita, Istruzione e Ricerca (PRIN 2005, MIUR Italy). We thank Mrs. Giosue Sorrentino and Maurizio Amendola for their technical assistance and Maria Conte for the initial crystallization trials.</t>
  </si>
  <si>
    <t>BENTHAM SCIENCE PUBL LTD</t>
  </si>
  <si>
    <t>SHARJAH</t>
  </si>
  <si>
    <t>EXECUTIVE STE Y-2, PO BOX 7917, SAIF ZONE, 1200 BR SHARJAH, U ARAB EMIRATES</t>
  </si>
  <si>
    <t>0929-8665</t>
  </si>
  <si>
    <t>1875-5305</t>
  </si>
  <si>
    <t>PROTEIN PEPTIDE LETT</t>
  </si>
  <si>
    <t>Protein Pept. Lett.</t>
  </si>
  <si>
    <t>10.2174/092986608784246533</t>
  </si>
  <si>
    <t>Biochemistry &amp; Molecular Biology</t>
  </si>
  <si>
    <t>V5P1A</t>
  </si>
  <si>
    <t>WOS:000219810100002</t>
  </si>
  <si>
    <t>Lowe, DJ; Shane, PAR; Alloway, BV; Newnham, RM</t>
  </si>
  <si>
    <t>Lowe, David J.; Shane, Phil A. R.; Alloway, Brent V.; Newnham, Rewi M.</t>
  </si>
  <si>
    <t>Fingerprints and age models for widespread New Zealand tephra marker beds erupted since 30,000 years ago: a framework for NZ-INTIMATE</t>
  </si>
  <si>
    <t>QUATERNARY SCIENCE REVIEWS</t>
  </si>
  <si>
    <t>LAST GLACIAL MAXIMUM; OKATAINA-VOLCANIC-CENTER; EASTERN NORTH-ISLAND; LATE QUATERNARY TEPHRAS; KA ORUANUI ERUPTION; DISCRIMINANT FUNCTION-ANALYSIS; INDIVIDUAL GLASS SHARDS; SOUTHERN SOUTH ISLAND; MARINE SEDIMENT CORES; FRANZ-JOSEF-GLACIER</t>
  </si>
  <si>
    <t>The role of tephras in the NZ-INTIMATE project is a critical one because most high-resolution palaeoclimatic records are linked and dated by one or more tephra layers. In this review, first we document eruptive, distributional, and compositional fingerprinting data, both mineralogical and geochemical, for 22 key marker tephras erupted since 30,000 years ago to facilitate their identification and correlation. We include new glass compositional data. The selected marker tephras comprise 10 from Taupo and nine from Okataina volcanoes (rhyolitic), one from Tuhua volcano (peralkaline rhyolitic), and one each from Tongariro and Egmont volcanoes (andesitic). Second, we use four approaches to develop 2 sigma-age models for the tephras (youngest to oldest): (1) calendar ages for Kaharoa and Taupo/Y were obtained by wiggle-matching log-derived tree-ring sequences dated by C-14; (2) Whakaipo/V was dated using an age-depth model from peat; (3) 14 tephras in the montane Kaipo peat sequence (Waimihia/S, Unit K, Whakatane, Tuhua, Mamaku, Rotoma, Opepe/E, Porormi/C, Karapiti/B, Okupata, Konini, Waiohau, Rotorua, Rerewhakaaitu) were dated by simultaneously wiggle-matching stratigraphic position and 51 independent C-14-age points against IntCal04 using Bayesian probability methods via both OxCal and Bpeat; and (4) the five oldest tephras, erupted before ca 18,000 cal. yr BP, were dated by calibrating limited numbers of C-14 ages using IntCal04 (Okareka) or comparison curves of the expanded Cariaco Basin sequence (Te Rere, Kawakawa/Oruanui, Poihipi, Okaia). Kawakawa/Oruanui tephra, the most widely distributed marker tephra, was erupted probably ca 27,097 +/- 957 cal. yr BP. Potential dating approaches for the older tephras include their identification in Antarctic ice cores (if present) or annually laminated sediments for which robust calendar-age models have been constructed, high-precision AMS C-14 dating on appropriate material from environmentally stable sites, systematic luminescence dating, or new radiometric techniques (e.g. U-Th/He) if suitable minerals are available and errors markedly reduced. Further application of Bayesian age-modelling to stratigraphic sequences of C-14 ages, possibly augmented with luminescence ages, may help refine age models for pre-Holocene tephras with the largest errors. Finally, we discuss the critical role these marker tephras play in the ongoing construction of an event stratigraphy for the New Zealand region, which is a key objective of Australasian and Southern Hemisphere INTIMATE projects. (C) 2007 Elsevier Ltd. All rights reserved.</t>
  </si>
  <si>
    <t>[Lowe, David J.] Univ Waikato, Dept Earth &amp; Ocean Sci, Hamilton 3240, New Zealand; [Shane, Phil A. R.] Univ Auckland, Dept Geol, Auckland 1142, New Zealand; [Alloway, Brent V.] GNS Sci, Lower Hutt 5040, New Zealand; [Newnham, Rewi M.] Univ Plymouth, Sch Geog, Plymouth PL4 8AA, Devon, England</t>
  </si>
  <si>
    <t>University of Waikato; University of Auckland; GNS Science - New Zealand; University of Plymouth</t>
  </si>
  <si>
    <t>Lowe, DJ (corresponding author), Univ Waikato, Dept Earth &amp; Ocean Sci, Private Bag 3105, Hamilton 3240, New Zealand.</t>
  </si>
  <si>
    <t>d.lowe@waikato.ac.nz</t>
  </si>
  <si>
    <t>Lowe, David James/G-2654-2013; Newnham, Rewi M/F-1111-2011; Shane, Phil/HKV-7633-2023</t>
  </si>
  <si>
    <t>Lowe, David James/0000-0002-2547-6019; Shane, Phil/0000-0002-7824-1184</t>
  </si>
  <si>
    <t>0277-3791</t>
  </si>
  <si>
    <t>QUATERNARY SCI REV</t>
  </si>
  <si>
    <t>Quat. Sci. Rev.</t>
  </si>
  <si>
    <t>10.1016/j.quascirev.2007.01.013</t>
  </si>
  <si>
    <t>277EX</t>
  </si>
  <si>
    <t>WOS:000254196600009</t>
  </si>
  <si>
    <t>Plagányi, ÉE; Butterworth, DS</t>
  </si>
  <si>
    <t>Nielsen, J; Dodson, JJ; Friedland, K; Hamon, TR; Musick, J; Verspoor, E</t>
  </si>
  <si>
    <t>Plaganyi, Eva E.; Butterworth, Doug S.</t>
  </si>
  <si>
    <t>Competition between marine mammals and fisheries -: Can we successfully model this using ECOPATH with ECOSIM?</t>
  </si>
  <si>
    <t>RECONCILING FISHERIES WITH CONSERVATION, VOLS I AND II</t>
  </si>
  <si>
    <t>4th World Fisheries Congress</t>
  </si>
  <si>
    <t>MAY 02-06, 2004</t>
  </si>
  <si>
    <t>CAPE FUR-SEAL; HAKES MERLUCCIUS CAPENSIS; KRILL EUPHAUSIA-SUPERBA; ANTARCTIC KRILL; FUTURE CONSUMPTION; CATCH RATES; INTERANNUAL VARIABILITY; ARCTOCEPHALUS PUSILLUS; EXPLOITED ECOSYSTEMS; SOUTHERN BENGUELA</t>
  </si>
  <si>
    <t>Perceived conflicts between marine mammals and fisheries targeting common sources of food have come increasingly to the fore in recent years. Escalating pressures on shared resources are expected in the future because of both increasing marine mammal populations and the needs of an increasing human population. Hence there is an urgent need for scientific evaluations to estimate the existence and extent of possible competition in a reliable manner. In particular, there is a need to critically review the modeling methods used to attempt to quantify the predicted effects of marine mammal reductions on fisheries and, conversely, the effects of increases or decreases in fishery catches on marine mammal populations. Given that the ECOPATH with ECOSIM (EwE) modeling approach is currently dominating attempts world-wide to provide information on how ecosystems are likely to respond to changes in fishery management practices, the applicability of this approach to answering three questions in this context is discussed. The extent to which the assumptions underlying this approach are appropriate and either predetermine or have implications for the results obtained is considered. Specific examples discussed are the hake-seal-fishery interactions off the west coast of South Africa, the postexploitation recovery of whale stocks off Antarctica, and Antarctic predator requirements for krill off Antarctica. EwE has limited predictive capability in these contexts due inter alia to the high residual variability in these systems, the important role of abiotic and biotic mesoscale (0[100 km]) processes, life history handling and insufficient fleyibility in the preset model structure to simulate hypothesized causative mechanisms adequately. However, EwE applications based on good data and that adequately reflect uncertainty have an important role to play in exploring broader aspects of ecosystem structure.</t>
  </si>
  <si>
    <t>[Plaganyi, Eva E.; Butterworth, Doug S.] Univ Cape Town, Dept Math &amp; Appl Math, Marine Resource Assessment Grp, ZA-7701 Rondebosch, South Africa</t>
  </si>
  <si>
    <t>eva.plaganyi-lloyd@uct.ac.za</t>
  </si>
  <si>
    <t>Plaganyi, Eva E/C-5130-2011</t>
  </si>
  <si>
    <t>Plaganyi, Eva E/0000-0002-4740-4200</t>
  </si>
  <si>
    <t>978-1-888569-80-3</t>
  </si>
  <si>
    <t>Ecology; Environmental Sciences; Environmental Studies; Fisheries; Law; Public Administration</t>
  </si>
  <si>
    <t>Environmental Sciences &amp; Ecology; Fisheries; Government &amp; Law; Public Administration</t>
  </si>
  <si>
    <t>BHM33</t>
  </si>
  <si>
    <t>WOS:000254264800089</t>
  </si>
  <si>
    <t>Agnew, DJ</t>
  </si>
  <si>
    <t>Agnew, David J.</t>
  </si>
  <si>
    <t>Fisheries management and conservation in the Antarctic: National and international regimes and the problem of implementation</t>
  </si>
  <si>
    <t>ECOSYSTEM MONITORING PROGRAM; SOUTH GEORGIA; MANAGING FISHERIES; MARINE ECOSYSTEM; CCAMLR; CATCH</t>
  </si>
  <si>
    <t>The Convention on the Conservation of Antarctic Marine Living Resources (CCAMLR) has at its core the objective to conserve as well as exploit fisheries resources in the Southern Ocean through practical application of an ecosystem approach. Over the 22 years since it came into force CCAMLR has slowly developed its ecosystem approach from the early conservation of single species, to minimizing the direct effects of fishing on the ecosystem (benthic impacts, bycatch, and incidental mortality of seabirds and seats) and incorporating indirect ecosystem effects into its management approaches. However, implementation of conservation measures is as important as promulgating them, and in this regard the strongest areas of implementation have been the areas of national jurisdiction within CCAMLR. Far from undermining international attempts at conservation, the strength of the CCAMLR system is the mutual support that the national and international regimes give each other to provide a high degree of integration of fisheries and conservation goals. This is evidenced by the recent Marine Stewardship Council certifications of South Georgia toothfish and Heard and Macdonald Island icefish. It follows that the largest challenge that CCAMLR faces in furthering its conservation goals is likely to be the control of high seas fishing within the Convention Area. It is unlikely, on current evidence of the development and continuation of illegal, unregulated, and unreported fishing in the Convention Area, that the suite of flag state control and trade measures will be able to effectively deal with this problem on their own. It is now necessary for CCAMLR to consider creating a high seas patrol and inspection capability to enforce its management and conservation decisions in high seas areas and areas close to the Antarctic continent.</t>
  </si>
  <si>
    <t>[Agnew, David J.] Univ London Imperial Coll Sci Technol &amp; Med, Royal Sch Mines, Dept Biol, London SW7 2BP, England</t>
  </si>
  <si>
    <t>Imperial College London</t>
  </si>
  <si>
    <t>d.agnew@imperial.ac.uk</t>
  </si>
  <si>
    <t>WOS:000254264800138</t>
  </si>
  <si>
    <t>Hewitt, RP; Jones, CD; Everson, I</t>
  </si>
  <si>
    <t>Hewitt, Roger P.; Jones, Christopher D.; Everson, Inigo</t>
  </si>
  <si>
    <t>Reconciling fisheries with conservation: Three examples from the Southern Ocean</t>
  </si>
  <si>
    <t>SEA-ICE EXTENT; KRILL EUPHAUSIA-SUPERBA; ANTARCTIC KRILL; MACKEREL ICEFISH; SCOTIA SEA; PATAGONIAN TOOTHFISH; SHETLAND ISLANDS; MARINE ECOSYSTEM; FUR SEALS; GEORGIA</t>
  </si>
  <si>
    <t>Preservation of ecosystem structure is the guiding principle by which the Commission for the Conservation of Antarctic Marine Living Resources (CCAMLR) endeavors to manage the harvests of living resources of the Southern Ocean (with the notable exception of marine mammals). The experiences of CCAMLR with regard to Fisheries on Antarctic krill Euphausia superba, mackerel icefish Champhsocephalus gunnari and Patagonian toothfish Dissostichus eleginoides are reviewed. The unifying paradigm employed by CCAMLR is the application of a precautionary approach, which explicitly incorporates uncertainty in the analysis of risk of exceeding defined management criteria. Each fishery, however, presents a unique set of circumstances and unresolved concerns. While the current fishery for krill is small compared to the precautionary limit established by CCAMLR, fishing effort concentrated near colonies of land-breeding krill predators may pose a threat in addition to those posed by the broader-scale influence of climatic cycles and trends on krill production. Management of the fishery on mackerel icefish relies on frequent surveys and short-term population projections because of high variability in natural mortality and is further complicated by the dual role of icefish as both consumers of krill and alternative prey to krill predators. While CCAMLR management of the fishery on toothfish is based on longer-term projections and has demonstrated success in addressing incidental mortality of seabirds, large-scale misreporting of catches, particularly in the Indian Ocean sector, threatens to compromise the viability of the fishery. These concerns are discussed in the context of CCAMLR's long-term goal of feed-back management schemes, whereby conservation measures are adjusted in response to ecosystem monitoring.</t>
  </si>
  <si>
    <t>[Hewitt, Roger P.; Jones, Christopher D.] NOAA Fisheries, Southwest Fisheries Sci Ctr, 8604 Jolla Shores Dr, La Jolla, CA 92037 USA; [Everson, Inigo] Anglia Ruskin Univ, Environm Sci Res Ctr, Sch Appl Sci, Cambridge CB1 1PT, England</t>
  </si>
  <si>
    <t>National Oceanic Atmospheric Admin (NOAA) - USA; Anglia Ruskin University</t>
  </si>
  <si>
    <t>Hewitt, RP (corresponding author), NOAA Fisheries, Southwest Fisheries Sci Ctr, 8604 Jolla Shores Dr, La Jolla, CA 92037 USA.</t>
  </si>
  <si>
    <t>roger.hewitt@noaa.gov</t>
  </si>
  <si>
    <t>WOS:000254264800139</t>
  </si>
  <si>
    <t>Isbell, JL; Koch, ZJ; Szablewski, GM; Lenaker, PA</t>
  </si>
  <si>
    <t>Fielding, CR; Frank, TD; Isbell, JL</t>
  </si>
  <si>
    <t>Isbell, John L.; Koch, Zelenda J.; Szablewski, Gina M.; Lenaker, Paul A.</t>
  </si>
  <si>
    <t>Permian glacigenic deposits in the Transantarctic Mountains, Antarctica</t>
  </si>
  <si>
    <t>RESOLVING THE LATE PALEOZOIC ICE AGE IN TIME AND SPACE</t>
  </si>
  <si>
    <t>Geological Society of America Special Papers</t>
  </si>
  <si>
    <t>Workshop on the Late Paleozoic Ice Age - Toward a More Refined Understanding of Timing Duration and Character held at the Annual Meeting of the Geological-Society-of-America</t>
  </si>
  <si>
    <t>OCT, 2005</t>
  </si>
  <si>
    <t>Salt Lake City, UT</t>
  </si>
  <si>
    <t>Antarctica; Permian; late Paleozoic glaciation; glaciomarine; Gondwana</t>
  </si>
  <si>
    <t>LATE PALEOZOIC GLACIATION; DRONNING-MAUD-LAND; GLACIER AREA; PALYNOSTRATIGRAPHY; RECONSTRUCTION; ENVIRONMENT; SEDIMENTS; ADVANCE; SURFACE; ORIGIN</t>
  </si>
  <si>
    <t>In Antarctica, late Paleozoic glacigenic strata occur throughout the Transantarctic, Ellsworth, and Pensacola Mountains and in the Shackleton and Heimefront Ranges. The most laterally and stratigraphic continuous exposures occur in the central Transantarctic and Darwin Mountains. These strata were deposited within two topographically expressed basins. The larger of the two basins was a trough-shaped basin that extended between the present locations of the Darwin and Amundsen Glaciers. Basement highs surrounded the basins and formed uplands onto which preglacial, glacial, and postglacial strata onlapped. An examination of late Paleozoic glacigenic units in the Darwin Mountains and the central Transantarctic Mountains reveals that Permian glacio marine sediments were deposited within the basins, and that subglacial diamictites and proximal glaciomarine sediments were deposited along basin margins. This is in marked contrast to earlier reports that identified glacigenic strata in the Transantarctic Mountains as the deposits of a terrestrial glacial system. On some highs, the occurrence of paleosols overlain by postglacial strata suggests that ice-free areas occurred locally along basin margins. A correlation of fossil spores and pollen with Australian palynomorph zones suggests that the Antarctic glacigenic strata are restricted to the Lower Permian. These findings suggest that glaciation was less widespread (temporally and spatially) than previously hypothesized. It is thus unlikely that a single, massive ice sheet covered Antarctica continuously at any time during the Carboniferous and Permian.</t>
  </si>
  <si>
    <t>[Isbell, John L.; Koch, Zelenda J.; Szablewski, Gina M.; Lenaker, Paul A.] Univ Wisconsin, Dept Geosci, Milwaukee, WI 53021 USA</t>
  </si>
  <si>
    <t>University of Wisconsin System; University of Wisconsin Milwaukee</t>
  </si>
  <si>
    <t>Isbell, JL (corresponding author), Univ Wisconsin, Dept Geosci, Milwaukee, WI 53021 USA.</t>
  </si>
  <si>
    <t>National Science Foundation [OPP-9909637, ANT-0126086, ANT-0440919]; University of WisconsinMilwaukee</t>
  </si>
  <si>
    <t>National Science Foundation(National Science Foundation (NSF)); University of WisconsinMilwaukee</t>
  </si>
  <si>
    <t>The National Science Foundation, Raytheon Polar Services, the New York Air National Guard, Kenn Borek Air Ltd., Trans World Logistics, and Petroleum Helicopters Incorporated provided logistic support for field work in Antarctica. This work was supported by National Science Foundation grants OPP-9909637, ANT-0126086, and ANT-0440919, and a grant from the University of WisconsinMilwaukee.</t>
  </si>
  <si>
    <t>GEOLOGICAL SOC AMER INC</t>
  </si>
  <si>
    <t>BOULDER</t>
  </si>
  <si>
    <t>3300 PENROSE PL, PO BOX 9140, BOULDER, CO 80301 USA</t>
  </si>
  <si>
    <t>0072-1077</t>
  </si>
  <si>
    <t>978-0-8137-2441-6</t>
  </si>
  <si>
    <t>GEOL SOC AM SPEC PAP</t>
  </si>
  <si>
    <t>10.1130/2008.2441(04)</t>
  </si>
  <si>
    <t>BLW53</t>
  </si>
  <si>
    <t>WOS:000271226700004</t>
  </si>
  <si>
    <t>Vazquez, SC; Hernandez, E; Cormack, WPM</t>
  </si>
  <si>
    <t>Vazquez, S. C.; Hernandez, E.; Mac Cormack, W. P.</t>
  </si>
  <si>
    <t>Extracellular proteases from the Antarctic marine Pseudoalteromonas sp P96-47 strain</t>
  </si>
  <si>
    <t>REVISTA ARGENTINA DE MICROBIOLOGIA</t>
  </si>
  <si>
    <t>Pseudoalteromonas sp.; Antarctic bacteria; proteases; sychrotolerant bacteria; sychrophiles</t>
  </si>
  <si>
    <t>COLD; BACTERIA; ENZYMES</t>
  </si>
  <si>
    <t>The extracellular protease-production capacity of 33 bacterial isolates taken from marine biotopes in King George Island, Antarctica, was evaluated in liquid cultures. The P96-47 isolate was selected due to its high production capacity and was identified as Pseudoalteromonas sp. The optimal growth temperature was 20 degrees C and the optimal for protease production was 15 degrees C. Proteases were purified from culture supernatants, developing a multiple-band profile in zymograms. They were classified as neutral metalloproteases and worked optimally at 45 degrees C with an E-acl of 47 kJ/mol. Their stability was higher at neutral pH, retaining more than 80% of activity at pH 6-10 after 3 h incubation at 4 degrees C. After 90 min incubation at 40 and 50 degrees C, the percentages of residual activities were 78% and 44%. These results contribute to the basic knowledge of Antarctic marine proteases and also help evaluate the probable industrial applications of P96-47 proteases.</t>
  </si>
  <si>
    <t>[Vazquez, S. C.; Hernandez, E.] Univ Buenos Aires, Catedra Microbiol Ind &amp; Biotecnol, Fac Farm &amp; Bioquim, Buenos Aires, Argentina; [Mac Cormack, W. P.] Inst Antartico Argentino, Buenos Aires, Argentina; [Vazquez, S. C.] Consejo Nacl Invest Cient &amp; Tecn, RA-1033 Buenos Aires, DF, Argentina</t>
  </si>
  <si>
    <t>University of Buenos Aires; Instituto Antartico Argentino; Consejo Nacional de Investigaciones Cientificas y Tecnicas (CONICET)</t>
  </si>
  <si>
    <t>Vazquez, SC (corresponding author), Univ Buenos Aires, Catedra Microbiol Ind &amp; Biotecnol, Fac Farm &amp; Bioquim, Junin 956 6 Piso,C1113AAD, Buenos Aires, Argentina.</t>
  </si>
  <si>
    <t>svazquez@ffyb.uba.ar</t>
  </si>
  <si>
    <t>Vazquez, Susana/0000-0002-0760-6254; Mac Cormack, Walter/0000-0002-5280-5463</t>
  </si>
  <si>
    <t>ASOCIACION ARGENTINA MICROBIOLOGIA</t>
  </si>
  <si>
    <t>BUENOS AIRES</t>
  </si>
  <si>
    <t>BULNES 44 PB B, BUENOS AIRES, 00000, ARGENTINA</t>
  </si>
  <si>
    <t>0325-7541</t>
  </si>
  <si>
    <t>1851-7617</t>
  </si>
  <si>
    <t>REV ARGENT MICROBIOL</t>
  </si>
  <si>
    <t>Rev. Argent. Microbiol.</t>
  </si>
  <si>
    <t>309CB</t>
  </si>
  <si>
    <t>WOS:000256437000013</t>
  </si>
  <si>
    <t>Vorob'ev, VP; Kurmey, ND; Makarenko, TI; Melnik, VI; Nesprava, VV</t>
  </si>
  <si>
    <t>Vorob'ev, V. P.; Kurmey, N. D.; Makarenko, T. I.; Melnik, V. I.; Nesprava, V. V.</t>
  </si>
  <si>
    <t>PARTICULARITIES OF THE WATER LUMINESCENCE FROM DIFFERENT SPRINGS</t>
  </si>
  <si>
    <t>ROMANIAN JOURNAL OF PHYSICS</t>
  </si>
  <si>
    <t>3rd National Conference on Applied Physics</t>
  </si>
  <si>
    <t>JUN 09-10, 2007</t>
  </si>
  <si>
    <t>Galati, ROMANIA</t>
  </si>
  <si>
    <t>water; luminescence; dry remainder</t>
  </si>
  <si>
    <t>Using the methods of luminescent and emission spectroscopy analysis, the peculiarities of luminescent water from different sources were studied, and the concentrations of macro- and microelements in water samples were determined. Quantitative analysis of Antarctic samples of ice of different age was carried out and the existence of different chemical elements was studied. The influence of hardening factor on luminescence spectrum of Antarctic and distilled water was investigated.</t>
  </si>
  <si>
    <t>[Vorob'ev, V. P.; Kurmey, N. D.; Melnik, V. I.; Nesprava, V. V.] NAS Ukraine, Inst Phys, UA-03680 Kiev, Ukraine; [Makarenko, T. I.] NAS Ukraine, Inst Geochem Mineral &amp; Ore Format, UA-03142 Kiev, Ukraine</t>
  </si>
  <si>
    <t>National Academy of Sciences Ukraine; Institute of Physics of the National Academy of Sciences of Ukraine; National Academy of Sciences Ukraine; MP Semenenko Institute of Geochemistry, Mineralogy &amp; Ore Formation of the National Academy of Sciences of Ukraine</t>
  </si>
  <si>
    <t>Vorob'ev, VP (corresponding author), NAS Ukraine, Inst Phys, 46 Nauki Prosp, UA-03680 Kiev, Ukraine.</t>
  </si>
  <si>
    <t>Curmei, Nicolai Dmitrovici/Y-5930-2018</t>
  </si>
  <si>
    <t>Curmei, Nicolai Dmitrovici/0000-0003-1264-5511; Melnyk, Volodymir/0000-0001-7273-8707</t>
  </si>
  <si>
    <t>EDITURA ACAD ROMANE</t>
  </si>
  <si>
    <t>BUCURESTI</t>
  </si>
  <si>
    <t>CALEA 13 SEPTEMBRIE NR 13, SECTOR 5, BUCURESTI 050711, ROMANIA</t>
  </si>
  <si>
    <t>1221-146X</t>
  </si>
  <si>
    <t>ROM J PHYS</t>
  </si>
  <si>
    <t>Rom. J. Phys.</t>
  </si>
  <si>
    <t>5-6</t>
  </si>
  <si>
    <t>417WQ</t>
  </si>
  <si>
    <t>WOS:000264109600015</t>
  </si>
  <si>
    <t>Bulkeley, R</t>
  </si>
  <si>
    <t>Bulkeley, Rip</t>
  </si>
  <si>
    <t>Aspects of the Soviet IGY</t>
  </si>
  <si>
    <t>RUSSIAN JOURNAL OF EARTH SCIENCES</t>
  </si>
  <si>
    <t>Antarctica; Cold War; International Geophysical Year; Electronic Geophysical Year; Soviet IGY; Sputnik; World Data Centers</t>
  </si>
  <si>
    <t>From original documents in Russian and other archives, and other primary sources, the paper puts together a detailed account of the Soviet decision to join the IGY, the formation of the Soviet IGY committee, and the execution of their IGY programme. Topics covered include the network of stations and its share in the total IGY, the first Soviet Antarctic expeditions, the relationship between the IGY committee and the sputniks project, the part played by women, the work of World Data Center B, and the publication of scientific results.</t>
  </si>
  <si>
    <t>[Bulkeley, Rip] Exeter Coll, Oxford, England</t>
  </si>
  <si>
    <t>Bulkeley, R (corresponding author), Exeter Coll, Oxford, England.</t>
  </si>
  <si>
    <t>rip@igy50.net</t>
  </si>
  <si>
    <t>GEOPHYSICAL CENTER RAS</t>
  </si>
  <si>
    <t>MOSCOW</t>
  </si>
  <si>
    <t>MOLODEZHNAYA ST 3, MOSCOW, 119296, RUSSIA</t>
  </si>
  <si>
    <t>1681-1208</t>
  </si>
  <si>
    <t>RUSS J EARTH SCI</t>
  </si>
  <si>
    <t>Russ. J. Earth Sci.</t>
  </si>
  <si>
    <t>ES1003</t>
  </si>
  <si>
    <t>10.2205/2007ES000249</t>
  </si>
  <si>
    <t>V6Z1X</t>
  </si>
  <si>
    <t>WOS:000420748400002</t>
  </si>
  <si>
    <t>Nagurnyi, AP</t>
  </si>
  <si>
    <t>Nagurnyi, A. P.</t>
  </si>
  <si>
    <t>On the Role of the Arctic Sea Ice in Seasonal Variability of Carbon Dioxide Concentration in Northern Latitudes</t>
  </si>
  <si>
    <t>RUSSIAN METEOROLOGY AND HYDROLOGY</t>
  </si>
  <si>
    <t>For the first time, based on direct observations of carbon dioxide concentration at modern Russian drifting stations, the role of the Arctic sea ice in maximum seasonal changes in carbon dioxide distribution is considered. Carbon dioxide is generated during growth of ice mass at the sea ice under-surface and is absorbed at the surface of melting sea ice. The time of ice growth is three or four times greater than that of its melting in summer months, and, as result, the time of carbon dioxide generation is longer that that of its uptake. Consequently, the Arctic Ocean is a source of carbon dioxide on the mean annual scale (the effect of Arctic breathing). Experiments in a freezing chamber confirm these conclusions.</t>
  </si>
  <si>
    <t>Arctic &amp; Antarctic Res Inst, St Petersburg 199397, Russia</t>
  </si>
  <si>
    <t>Nagurnyi, AP (corresponding author), Arctic &amp; Antarctic Res Inst, Ul Beringa 38, St Petersburg 199397, Russia.</t>
  </si>
  <si>
    <t>Russian Foundation for Basic Research [05-05-79128-k]</t>
  </si>
  <si>
    <t>The work was supported by the Russian Foundation for Basic Research (grant no. 05-05-79128-k).</t>
  </si>
  <si>
    <t>ALLERTON PRESS INC</t>
  </si>
  <si>
    <t>18 WEST 27TH ST, NEW YORK, NY 10001 USA</t>
  </si>
  <si>
    <t>1068-3739</t>
  </si>
  <si>
    <t>RUSS METEOROL HYDROL</t>
  </si>
  <si>
    <t>Russ. Meteorol. Hydrol.</t>
  </si>
  <si>
    <t>10.3103/S106837390801007X</t>
  </si>
  <si>
    <t>397QN</t>
  </si>
  <si>
    <t>WOS:000262677300007</t>
  </si>
  <si>
    <t>Wu, KJ; Yang, ZL; Liu, B; Guan, CL</t>
  </si>
  <si>
    <t>Wu KeJian; Yang ZhongLiang; Liu Bin; Guan ChangLong</t>
  </si>
  <si>
    <t>Wave energy input into the Ekman layer</t>
  </si>
  <si>
    <t>SCIENCE IN CHINA SERIES D-EARTH SCIENCES</t>
  </si>
  <si>
    <t>Ekman layer; wind energy input; wave energy input</t>
  </si>
  <si>
    <t>INERTIAL MOTIONS; MIXED-LAYER; WIND; OCEAN; DRIVEN; CIRCULATION; DRIFT; WORK</t>
  </si>
  <si>
    <t>This paper is concerned with the wave energy input into the Ekman layer, based on 3 observational facts that surface waves could significantly affect the profile of the Ekman layer. Under the assumption of constant vertical diffusivity, the analytical form of wave energy input into the Ekman layer is derived. Analysis of the energy balance shows that the energy input to the Ekman layer through the wind stress and the interaction of the Stokes-drift with planetary vorticity can be divided into two kinds. One is the wind energy input, and the other is the wave energy input which is dependent on wind speed, wave characteristics and the wind direction relative to the wave direction. Estimates of wave energy input show that wave energy input can be up to 10% in high-latitude and high-wind speed areas and higher than 20% in the Antarctic Circumpolar Current, compared with the wind energy input into the classical Ekman layer. Results of this paper are of significance to the study of wave-induced large scale effects.</t>
  </si>
  <si>
    <t>Ocean Univ China, Phys Oceanog Lab, Qingdao 266100, Peoples R China</t>
  </si>
  <si>
    <t>Wu, KJ (corresponding author), Ocean Univ China, Phys Oceanog Lab, Qingdao 266100, Peoples R China.</t>
  </si>
  <si>
    <t>kejianwu@ouc.edu.cn</t>
  </si>
  <si>
    <t>Liu, Bin/M-6709-2013</t>
  </si>
  <si>
    <t>Liu, Bin/0000-0003-1858-190X</t>
  </si>
  <si>
    <t>1006-9313</t>
  </si>
  <si>
    <t>SCI CHINA SER D</t>
  </si>
  <si>
    <t>Sci. China Ser. D-Earth Sci.</t>
  </si>
  <si>
    <t>10.1007/s11430-007-0147-0</t>
  </si>
  <si>
    <t>237YM</t>
  </si>
  <si>
    <t>WOS:000251412300013</t>
  </si>
  <si>
    <t>Shepherd, A; Wingham, D</t>
  </si>
  <si>
    <t>Shepherd, Andrew; Wingham, Duncan J.</t>
  </si>
  <si>
    <t>Antarctic glacier thinning, 1992-2003</t>
  </si>
  <si>
    <t>SCOTTISH GEOGRAPHICAL JOURNAL</t>
  </si>
  <si>
    <t>Antarctica; mass balance; altimetry; sea level rise</t>
  </si>
  <si>
    <t>MASS-BALANCE; ICE-SHEET; ACCUMULATION; SNOWFALL; OCEAN</t>
  </si>
  <si>
    <t>A distinction is often drawn between the ice sheets of East and West Antarctica due to marked differences in their geometry. The East Antarctic Ice Sheet (EAIS) rests on ground that is mostly above sea level, and the overlying ice has been considered stable over long time periods (Alley Whillans, 1984) because it is relatively isolated from climatic perturbations. In contrast, the West Antarctic Ice Sheet (WAIS) rests on ground that is predominantly below sea level, and its configuration is considered unstable due to the inland-sloping bedrock geometry, a heightened exposure to oceanic perturbations, and the presence of deformable sediments beneath major outlet glaciers (Alley Whillans, 1991). Here, we determine the volume change of Antarctic outlet glaciers between 1992 and 2003 to characterise the ice sheet mass balance. We conclude that only glaciers of a certain geometry-those seated in submarine basins with no substantial ice shelf barrier-are losing mass today. These glaciers are sited in both East and West Antarctica and, because they are susceptible to changes in climate, we anticipate they will provide a substantial contribution to global sea levels over the twenty-first century should ocean warming continue as projected (Gille, 2002).</t>
  </si>
  <si>
    <t>[Shepherd, Andrew] Univ Edinburgh, Sch Geosci, Edinburgh, Midlothian, Scotland; [Wingham, Duncan J.] UCL, London, England</t>
  </si>
  <si>
    <t>University of Edinburgh; University of London; University College London</t>
  </si>
  <si>
    <t>Shepherd, A (corresponding author), Univ Edinburgh, Sch Geosci, Edinburgh, Midlothian, Scotland.</t>
  </si>
  <si>
    <t>andrew.shepherd@ed.ac.uk</t>
  </si>
  <si>
    <t>Shepherd, Andrew/0000-0002-4914-1299</t>
  </si>
  <si>
    <t>NERC [cpom20001] Funding Source: UKRI; Natural Environment Research Council [earth010006, cpom20001] Funding Source: researchfish</t>
  </si>
  <si>
    <t>2-4 PARK SQUARE, MILTON PARK, ABINGDON OX14 4RN, OXON, ENGLAND</t>
  </si>
  <si>
    <t>1470-2541</t>
  </si>
  <si>
    <t>1751-665X</t>
  </si>
  <si>
    <t>SCOT GEOGR J</t>
  </si>
  <si>
    <t>Scott. Geogr. J.</t>
  </si>
  <si>
    <t>10.1080/14702540802441144</t>
  </si>
  <si>
    <t>368GB</t>
  </si>
  <si>
    <t>WOS:000260608500005</t>
  </si>
  <si>
    <t>Parry, V; Nienow, P; Mair, D; Scott, J</t>
  </si>
  <si>
    <t>Parry, Victoria; Nienow, Peter; Mair, Douglas; Scott, Julian</t>
  </si>
  <si>
    <t>Greenland: Bringing together remote sensing and fieldwork</t>
  </si>
  <si>
    <t>Greenland Ice Sheet; mass balance; snowpack density; percolation zone</t>
  </si>
  <si>
    <t>ICE-SHEET; CLIMATE</t>
  </si>
  <si>
    <t>With global land and sea temperatures rising, the importance of accurate monitoring of the world's ice sheets is increasing. Satellite radar altimetry can be used to measure elevation changes of ice sheets from which mass balance can be derived. In the percolation zone of ice sheets, summer melt which percolates into the snowpack and refreezes causes a re-distribution of mass through densification, which can result in elevation changes which are not representative of changes in mass balance. We present data collected in the percolation zone of the Greenland Ice Sheet prior to and post the processes of summer melt, percolation and refreezing. Data from nine sites along two 1-km transects show that in 2004 there was a 31.6% increase in accumulation over the summer, but due to surface melting percolation and refreezing the average snowpack density increased by 26.2%, resulting in only a 5.3% increase in elevation. Our results indicate that in areas of substantial seasonal melt and refreezing, densification rates must be accurately quantified if mass balance estimates are to be usefully derived from surface elevation change.</t>
  </si>
  <si>
    <t>[Parry, Victoria; Nienow, Peter] Univ Edinburgh, Inst Geog, Edinburgh EH8 9XP, Midlothian, Scotland; [Mair, Douglas] Univ Aberdeen, Sch Geosci, Dept Geog &amp; Environm, Aberdeen, Scotland; [Scott, Julian] British Antarctic Survey, Cambridge CB3 0ET, England</t>
  </si>
  <si>
    <t>University of Edinburgh; University of Aberdeen; UK Research &amp; Innovation (UKRI); Natural Environment Research Council (NERC); NERC British Antarctic Survey</t>
  </si>
  <si>
    <t>Parry, V (corresponding author), Univ Edinburgh, Inst Geog, Drummond St, Edinburgh EH8 9XP, Midlothian, Scotland.</t>
  </si>
  <si>
    <t>v.l.parry@sms.ed.ac.uk</t>
  </si>
  <si>
    <t>Facility, NERC Geophysical Equipment/G-5260-2010</t>
  </si>
  <si>
    <t>Mair, Douglas/0000-0001-7009-5461</t>
  </si>
  <si>
    <t>Natural Environment Research Council [bas010018, bas010013] Funding Source: researchfish; NERC [bas010018, bas010013] Funding Source: UKRI</t>
  </si>
  <si>
    <t>10.1080/14702540802411840</t>
  </si>
  <si>
    <t>WOS:000260608500011</t>
  </si>
  <si>
    <t>Hieronymus, TL</t>
  </si>
  <si>
    <t>Thewissen, JGM; Nummela, S</t>
  </si>
  <si>
    <t>Hieronymus, Tobin L.</t>
  </si>
  <si>
    <t>Comparative Anatomy and Physiology of Chemical Senses in Aquatic Birds</t>
  </si>
  <si>
    <t>SENSORY EVOLUTION ON THE THRESHOLD: ADAPTATIONS IN SECONDARILY AQUATIC VERTEBRATES</t>
  </si>
  <si>
    <t>ANTARCTIC PROCELLARIIFORM SEABIRDS; ANAS-PLATYRHYNCHOS L; STORM-PETREL CHICKS; ODOR RECOGNITION; OLFACTORY NAVIGATION; FORAGING STRATEGIES; DIMETHYL SULFIDE; LEACHS PETREL; BLUE PETRELS; TASTE-BUDS</t>
  </si>
  <si>
    <t>Ohio Univ, Dept Biol Sci, Athens, OH 45701 USA</t>
  </si>
  <si>
    <t>University System of Ohio; Ohio University</t>
  </si>
  <si>
    <t>Hieronymus, TL (corresponding author), Ohio Univ, Dept Biol Sci, Athens, OH 45701 USA.</t>
  </si>
  <si>
    <t>Hieronymus, Tobin/0000-0002-0483-5350</t>
  </si>
  <si>
    <t>UNIV CALIFORNIA PRESS</t>
  </si>
  <si>
    <t>OAKLAND</t>
  </si>
  <si>
    <t>155 GRAND AVE, SUITE 400, OAKLAND, CA 94612-3758 USA</t>
  </si>
  <si>
    <t>978-0-520-93412-2</t>
  </si>
  <si>
    <t>BWI84</t>
  </si>
  <si>
    <t>WOS:000293958400006</t>
  </si>
  <si>
    <t>Ludley, KE; Robinson, CH</t>
  </si>
  <si>
    <t>Ludley, Katherine E.; Robinson, Clare H.</t>
  </si>
  <si>
    <t>'Decomposer' Basidiomycota in Arctic and Antarctic ecosystems</t>
  </si>
  <si>
    <t>SOIL BIOLOGY &amp; BIOCHEMISTRY</t>
  </si>
  <si>
    <t>Arctic; Antarctic; Basidiomycota; fungi; carbon cycling; climate change; decomposition; DNA; ecosystem functioning; mycorrhizas; RNA; saprotrophs; tundra</t>
  </si>
  <si>
    <t>SUCCESSIONAL GLACIER FOREFRONT; FUNGAL DIVERSITY; ARBUSCULAR MYCORRHIZAL; WINDMILL ISLANDS; DARK-SEPTATE; ECTOMYCORRHIZAL FUNGI; COMMUNITY STRUCTURE; ORGANIC NITROGEN; DRYAS-OCTOPETALA; LACCASE GENES</t>
  </si>
  <si>
    <t>Current knowledge concerning 'decomposer' Basidiomycota in Arctic and Antarctic ecosystems is based on two sources: (a) collections and surveys of basidiomata, which have resulted in high-quality catalogues of species, although much of the species' distribution and ecology are tentative and (b) isolations from soils and plant litter which typically result in a low incidence of basidiomycetes [Dowding, P., Widden, P., 1974. Some relations between fungi and their environment in tundra regions. In: Holding, A.J., Heal, O.W., MacLean Jr., S.F., Flanagan, P.W. (Eds.), Soil Organisms and Decomposition in Tundra. Tundra Biome Steering Committee, Stockholm, Sweden, pp. 123-150], probably because of selectivity in isolation methods. In the few molecular studies carried out in Arctic and Antarctic soils to date, basidiomycetes, particularly yeasts, have been found. These techniques should give better estimates of the order of magnitude of fungal species richness in Arctic and Antarctic soils, although caution should be used concerning primer choice and amplification conditions. From collections in Arctic regions, species of basidiomycetes appear to be circumpolar in distribution with restricted endemism. Using culture-independent methods, it should be possible to test whether selected Arctic or Antarctic species are truly cosmopolitan, circumpolar, endemic, or are cryptic phylogenetic species. Particularly in Arctic ecosystems, potential 'decomposer' fungi in soils and roots may be from phylogenetically diverse taxa, and currently it is unclear whether 'decomposer' basidiomycetes are the fungi undertaking the majority of organic matter decomposition in Arctic and Antarctic ecosystems. For example, in some recent studies, wood decomposition in cold Arctic and Antarctic sites appears to proceed via 'soft rot' by anamorphic ascomycetes (e.g. Cadophora species), rather than by 'white rot' or 'brown rot' basidiomycete species. Additionally, it appears basidiomycetes and ascomycetes as ericoid and ectomycorrhizal fungi have the potential to be involved directly in decomposition. Given that profound changes are likely to occur in patterns of vegetation (Arctic and Antarctic) and size of soil carbon (C) pools (particularly in the Arctic) by the end of this century, it is necessary to know more about which species of 'decomposer' basidiomycetes are present and to try to define their potentially pivotal roles in ecosystem C (and N) cycling. One solution to characterise further the identity and roles of these fungi in a logical way, is to standardise methods of detection and 'function' at networks of sites, including along latitudinal gradients. Results of functional tests should be related to community structure, at least for 'key' species. (c) 2007 Elsevier Ltd. All rights reserved.</t>
  </si>
  <si>
    <t>Univ Manchester, Sch Earth Atmospher &amp; Environm Sci, Manchester M13 9PL, Lancs, England; Univ Lancaster, Lancaster Environm Ctr, Ctr Ecol &amp; Hydrol, Lancaster LA1 4AP, England</t>
  </si>
  <si>
    <t>University of Manchester; UK Centre for Ecology &amp; Hydrology (UKCEH); Lancaster University</t>
  </si>
  <si>
    <t>Robinson, CH (corresponding author), Univ Manchester, Sch Earth Atmospher &amp; Environm Sci, Williamson Bldg,Oxford Rd, Manchester M13 9PL, Lancs, England.</t>
  </si>
  <si>
    <t>clare.robinson@manchester.ac.uk</t>
  </si>
  <si>
    <t>Natural Environment Research Council [ceh010010] Funding Source: researchfish</t>
  </si>
  <si>
    <t>0038-0717</t>
  </si>
  <si>
    <t>1879-3428</t>
  </si>
  <si>
    <t>SOIL BIOL BIOCHEM</t>
  </si>
  <si>
    <t>Soil Biol. Biochem.</t>
  </si>
  <si>
    <t>10.1016/j.soilbio.2007.07.023</t>
  </si>
  <si>
    <t>Soil Science</t>
  </si>
  <si>
    <t>235NU</t>
  </si>
  <si>
    <t>WOS:000251242000003</t>
  </si>
  <si>
    <t>Hedding, DW</t>
  </si>
  <si>
    <t>Hedding, David W.</t>
  </si>
  <si>
    <t>Spatial inventory of landforms in the recently exposed central highland of sub-Antarctic Manion Island</t>
  </si>
  <si>
    <t>SOUTH AFRICAN GEOGRAPHICAL JOURNAL</t>
  </si>
  <si>
    <t>PROTALUS RAMPARTS; SORTED STRIPES; MARION; MARITIME; PERMAFROST; MOVEMENT; CLIMATE; RATES</t>
  </si>
  <si>
    <t>Until recently, the Central Highland of sub-Antarctic Marion Island (above 750m a.s.l.) was covered by snow. Climatic amelioration is deemed responsible for the disappearance of the former permanent snowline which had a lower altitudinal limit of approximately 650m a.s.l. during the early-1950s. The recent sub-aerial exposure of this area now enables the geology and geomorphology to be documented. Mapping incorporated air-photo interpretation and field surveys using a hand-held Global Positioning System (GPS) to ensure spatial accuracy. Most grey lava outcrops above 750m a.s.l. exhibit some evidence of previous glaciations whereas black lava flows show no evidence of the effects of glaciers and must, therefore, post-date the Last Glacial Maximum (LGM). Frost processes currently predominate in the Central Highland, but there is a conspicuous lack of periglacial landforms (i.e. patterned ground) in scoria and grey lava areas. With the exception of thermal contraction cracking at one location, no other evidence for the development of geomorphological landforms in black lava areas exists. Other geomorphological landforms include meltout features, a manifestation of landscape process responses to climatic amelioration, mass movement landforms and the emergence of rudimentary aeolian landforms. Receding snow cover may enhance frost and aeolian processes, which could result in an interesting myriad of geomorphological landforms.</t>
  </si>
  <si>
    <t>North West Univ, Dept Geog &amp; Environm Sci, ZA-2735 Mmabatho, South Africa</t>
  </si>
  <si>
    <t>North West University - South Africa</t>
  </si>
  <si>
    <t>Hedding, DW (corresponding author), North West Univ, Dept Geog &amp; Environm Sci, Mafikeng Campus, ZA-2735 Mmabatho, South Africa.</t>
  </si>
  <si>
    <t>Hedding, David William/F-3044-2011</t>
  </si>
  <si>
    <t>Hedding, David William/0000-0002-9748-4499</t>
  </si>
  <si>
    <t>0373-6245</t>
  </si>
  <si>
    <t>2151-2418</t>
  </si>
  <si>
    <t>S AFR GEOGR J</t>
  </si>
  <si>
    <t>S. Afr. Geogr. J.</t>
  </si>
  <si>
    <t>10.1080/03736245.2008.9725307</t>
  </si>
  <si>
    <t>314KE</t>
  </si>
  <si>
    <t>WOS:000256807500002</t>
  </si>
  <si>
    <t>Evtushevsky, OM; Grytsai, AV; Milinevsky, GP</t>
  </si>
  <si>
    <t>Evtushevsky, O. M.; Grytsai, A., V; Milinevsky, G. P.</t>
  </si>
  <si>
    <t>ANTARCTIC TROPOPAUSE IN WINTER AND SPRING</t>
  </si>
  <si>
    <t>SPACE SCIENCE AND TECHNOLOGY-KOSMICNA NAUKA I TEHNOLOGIA</t>
  </si>
  <si>
    <t>Ukrainian</t>
  </si>
  <si>
    <t>The distribution of total ozone, troposphere and stratosphere temperature as well as of tropopause height over Antarctic region is analyzed. Dominant influence of lower stratosphere cooling on the tropopause height increase is revealed. The cooling is caused by the temperature decrease within the stratospheric polar vortex in the winter months and by the ozone losses and ozone hole formation in the spring months. In the Weddell Sea region an anomalous tropopause elevation to 13-14 km (as compared with typical values of 9-10 km) is accompanied by widening the transition layer between the troposphere and stratosphere. Troposphere influence is seen only in the tropopause lowering by 2 km over the continental plateau in the East Antarctica. The seasonal formation and regional location of the anomaly cause the changes in the troposphere vertical extension over Antarctic region, in the processes of the troposphere-stratosphere exchange and in the planetary wave propagation involved in the climate change in the region.</t>
  </si>
  <si>
    <t>Evtushevsky, Oleksandr O.M./0000-0003-0582-559X; Milinevsky, Gennadi/0000-0002-2342-2615;</t>
  </si>
  <si>
    <t>PUBLISHING HOUSE AKADEMPERIODYKA</t>
  </si>
  <si>
    <t>KYIV</t>
  </si>
  <si>
    <t>PUBLISHING HOUSE AKADEMPERIODYKA, KYIV, 00000, UKRAINE</t>
  </si>
  <si>
    <t>1561-8889</t>
  </si>
  <si>
    <t>2518-1459</t>
  </si>
  <si>
    <t>SPACE SCI TECHNOL</t>
  </si>
  <si>
    <t>Space Sci. Technol.</t>
  </si>
  <si>
    <t>10.15407/knit2008.04.058</t>
  </si>
  <si>
    <t>VE7AM</t>
  </si>
  <si>
    <t>WOS:000440091400006</t>
  </si>
  <si>
    <t>Evtushevskiy, OM; Grytsay, AV; Milinevskiy, GP; Kravchenko, V; Grytsay, ZL</t>
  </si>
  <si>
    <t>Evtushevskiy, O. M.; Grytsay, A. V.; Milinevskiy, G. P.; Kravchenko, V.; Grytsay, Z. L.</t>
  </si>
  <si>
    <t>COMPARISON OF GROUND-BASED AND SATELLITE TOTAL OZONE MEASUREMENTS OVER THE ANTARCTIC STATION AKADEMIK VERNADSKY (1996-2005)</t>
  </si>
  <si>
    <t>Russian</t>
  </si>
  <si>
    <t>DOBSON; TOMS; CLOUDS; GOME</t>
  </si>
  <si>
    <t>The influence of observation conditions (cloudiness, solar zenith angle, total ozone content (TOC) values) on the data disagreement is analyzed through the comparison of ground-based and satellite TOC measurements over the Antarctic station Akademik Vernadsky. After transition from 7th to 8th Version of satellite algorithm in 2004, the agreement between the Dobson spectrophotometer and EP-TOMS spectrometer measurement results did not change essentially. A mean positive difference of 1.8 % in 7th was replaced by a negative one of -2 % in 8th Version. Mean difference values for cloudless (4.1 % , 137 days) and cloudy (-4.5 % , 1048 days) sky are evidences of the dependence of the satellite and ground-based daily TOC values discrepancy on the cloudiness presence. This dependence remains unchanged in comparison results for both Versions of the TOMS data: mean TOMS - Dobson differences under the observation conditions of clear and cloudy sky are distinguished by almost 9 %. The TOMS - Dobson difference dependence on the observation conditions can point to some overestimation of the ground-based data by the satellite ones under the clear sky and the reverse relationship under the cloudy sky. The largest data disagreement is revealed in the ozone hole period (September - October) for the observations under the cloudy sky conditions. Our results allow one to improve the TOC observation accuracy with regard to the atmosphere state.</t>
  </si>
  <si>
    <t>[Evtushevskiy, O. M.; Grytsay, A. V.; Milinevskiy, G. P.; Kravchenko, V.; Grytsay, Z. L.] Kharkov Natl Univ, Kharkov, Ukraine</t>
  </si>
  <si>
    <t>Ministry of Education &amp; Science of Ukraine; VN Karazin Kharkiv National University</t>
  </si>
  <si>
    <t>Evtushevskiy, OM (corresponding author), Kharkov Natl Univ, Kharkov, Ukraine.</t>
  </si>
  <si>
    <t>10.15407/knit2008.05.074</t>
  </si>
  <si>
    <t>VE7AP</t>
  </si>
  <si>
    <t>WOS:000440092600006</t>
  </si>
  <si>
    <t>Merlino, A; Verde, C; di Prisco, G; Mazzarella, L; Vergara, A</t>
  </si>
  <si>
    <t>Merlino, Antonello; Verde, Cinzia; di Prisco, Guido; Mazzarella, Lelio; Vergara, Alessandro</t>
  </si>
  <si>
    <t>Reduction of ferric hemoglobin from Trematomus bernacchii in a partial bis-histidyl state produces a deoxy coordination even when encapsulated into the crystal phase</t>
  </si>
  <si>
    <t>SPECTROSCOPY-AN INTERNATIONAL JOURNAL</t>
  </si>
  <si>
    <t>Roman crystallography; hemicrome; Antarctic fish; hemoglobins</t>
  </si>
  <si>
    <t>QUATERNARY STRUCTURES; LIGANDED HEMOGLOBIN; FISH; CRYSTALLOGRAPHY; RESOLUTION; MECHANISM; OXIDATION; BINDING; MODEL</t>
  </si>
  <si>
    <t>Crystallographic and spectroscopic evidences on Antarctic fish hemoglobins (AFHbs) have revealed that their ferric tetramers at physiological pH are in a mixed alpha(aquo-met)/beta(bis-histidyl) coordination state and show a quaternary structure intermediate between the classical R and T states (H state). Ferric bis-histidyl adducts (hemichromes) have been also observed in some mammalian Hbs. In order to clarify whether hemichrome in AFHbs can be converted into a ferrous bis-histidyl adduct (hemochrome), at least in the crystal phase, chemical reduction of ferric hemoglobins from Trematomus bernacchii (HbTb) single crystals has been followed via Raman microscopy. The results of this analysis reveal that in HbTb, upon reduction, the bis-histidyl coordination is disrupted in favor of a penta-coordinated ferrous deoxy state, with no evidence of hemochrome. These data are in agreement with UV/Vis absorption spectra in solution. Furthermore, our data are also indirectly supported by the observation that upon reduction with dithionite, the ferric HbTb crystals crack and lose their diffraction power: in the crystalline state, the quaternary structure transition from the H to the T state is not compatible with the crystal packing. Altogether these data indicate that if bis-histidyl adducts have a functional significance in AFHbs, this function refers to a stable ferric state, or to a transient, though never detected, ferrous species.</t>
  </si>
  <si>
    <t>[Merlino, Antonello; Mazzarella, Lelio; Vergara, Alessandro] Univ Naples Federico II, Dept Chem, Naples, Italy; [Verde, Cinzia; di Prisco, Guido] CNR, Inst Prot Biochem, I-80125 Naples, Italy; [Mazzarella, Lelio; Vergara, Alessandro] CNR, Inst Biostruct &amp; Bioimmagini, I-80125 Naples, Italy</t>
  </si>
  <si>
    <t>University of Naples Federico II; Consiglio Nazionale delle Ricerche (CNR); Istituto di Biochimica delle Proteine (IBP-CNR); Consiglio Nazionale delle Ricerche (CNR); Istituto di Biostrutture e Bioimmagini (IBB-CNR)</t>
  </si>
  <si>
    <t>Vergara, A (corresponding author), Univ Naples Federico II, Dept Chem, Via Cinthia, I-80126 Naples, Italy.</t>
  </si>
  <si>
    <t>alessandro.vergara@unina.it</t>
  </si>
  <si>
    <t>Vergara, Alessandro/C-4435-2013; Merlino, Antonello/AAI-2114-2020</t>
  </si>
  <si>
    <t>Vergara, Alessandro/0000-0003-4135-0245; VERDE, Cinzia/0000-0001-6185-282X; Merlino, Antonello/0000-0002-1045-7720</t>
  </si>
  <si>
    <t>HINDAWI LTD</t>
  </si>
  <si>
    <t>ADAM HOUSE, 3RD FLR, 1 FITZROY SQ, LONDON, W1T 5HF, ENGLAND</t>
  </si>
  <si>
    <t>0712-4813</t>
  </si>
  <si>
    <t>SPECTROSC-INT J</t>
  </si>
  <si>
    <t>Spectr.-Int. J.</t>
  </si>
  <si>
    <t>10.1155/2008/328463</t>
  </si>
  <si>
    <t>Biochemical Research Methods; Spectroscopy</t>
  </si>
  <si>
    <t>Biochemistry &amp; Molecular Biology; Spectroscopy</t>
  </si>
  <si>
    <t>305RF</t>
  </si>
  <si>
    <t>gold, Green Published</t>
  </si>
  <si>
    <t>WOS:000256194800007</t>
  </si>
  <si>
    <t>Leat, PT</t>
  </si>
  <si>
    <t>Thomson, K; Petford, N</t>
  </si>
  <si>
    <t>Leat, Philip T.</t>
  </si>
  <si>
    <t>On the long-distance transport of Ferrar magmas</t>
  </si>
  <si>
    <t>STRUCTURE AND EMPLACEMENT OF HIGH-LEVEL MAGMATIC SYSTEMS</t>
  </si>
  <si>
    <t>LARGE IGNEOUS PROVINCE; WEDDELL SEA EMBAYMENT; NORTH VICTORIA-LAND; PENSACOLA-MOUNTAINS; TRANSANTARCTIC MOUNTAINS; BREAK-UP; ANTARCTICA IMPLICATIONS; ISOTOPIC CONSTRAINTS; LITHOSPHERIC MANTLE; JURASSIC DOLERITES</t>
  </si>
  <si>
    <t>The distribution and geochemical relationships of the Early Jurassic Ferrar large igneous province (LIP) are examined and it is concluded that they support the lateral flow model for the emplacement of the province, with a source along the strongly magmatic Early Jurassic Antarctica-Africa rifted margin. Published data and new analyses from the Pensacola Range are used to show that the dominant magma type in the Ferrar, the Mount Fazio chemical type (MFCT), occurs in the Theron Mountains, Shackleton Range, Whichaway Nunataks, Pensacola Mountains (all Antarctica) and South Africa, as well as well-known outcrops in Victoria Land, Antarctica, SE Australia and New Zealand. Chemical compositions are shown to be somewhat varied, but similar enough for them to be considered as representing closely related magmas. Examination of geochemical trends with distance from the interpreted magma source indicates that Mg# and MgO abundances decline with distance travelled, and it is argued that this is consistent with the lateral flow model. The Scarab Peak chemical type (SPCT), which occurs as sills in the Theron Mountains and Whichaway Nunataks, and as lavas in Victoria Land, is geochemically very homogeneous. Despite this, Mg#, MgO, Ti/Y and Ti/Zr all fall with distance from the interpreted source, consistent with fractional crystallization occurring during the lateral flow of the magmas. Flow took place in dykes or (more likely) sills. No feeder dyke swarm has been identified. The distances flowed, at least 4100 km for MFCT and 3700 km for SPCT, are the longest interpreted lateral magma flows on Earth.</t>
  </si>
  <si>
    <t>Leat, PT (corresponding author), British Antarctic Survey, Madingley Rd, Cambridge CB3 0ET, England.</t>
  </si>
  <si>
    <t>ptle@bas.ac.uk</t>
  </si>
  <si>
    <t>978-1-86239-256-4</t>
  </si>
  <si>
    <t>10.1144/SP302.4</t>
  </si>
  <si>
    <t>Geochemistry &amp; Geophysics; Geology</t>
  </si>
  <si>
    <t>BJV17</t>
  </si>
  <si>
    <t>WOS:000267235100004</t>
  </si>
  <si>
    <t>Selbmann, L; de Hoog, GS; Zucconi, L; Isola, D; Ruisi, S; den Ende, AHGG; Ruibal, C; De Leo, F; Urzì, C; Onofri, S</t>
  </si>
  <si>
    <t>Selbmann, L.; de Hoog, G. S.; Zucconi, L.; Isola, D.; Ruisi, S.; Van den Ende, A. H. G. Gerrits; Ruibal, C.; De Leo, F.; Urzi, C.; Onofri, S.</t>
  </si>
  <si>
    <t>Drought meets acid: three new genera in a dothidealean clade of extremotolerant fungi</t>
  </si>
  <si>
    <t>STUDIES IN MYCOLOGY</t>
  </si>
  <si>
    <t>International Workshop on Black Yeasts</t>
  </si>
  <si>
    <t>APR 26-28, 2007</t>
  </si>
  <si>
    <t>Utrecht, NETHERLANDS</t>
  </si>
  <si>
    <t>Acidophilic fungi; Antarctica; black fungi; extremotolerance; halophilic fungi; ITS; lichens; phylogeny; rock-inhabiting fungi; SSU; taxonomy</t>
  </si>
  <si>
    <t>INTERNAL TRANSCRIBED SPACER; DOTHIDEACEOUS BLACK YEASTS; EXOPHIALA-WERNECKII; EXTREME ACIDITY; TOLERANT; MARBLE; MYCOSPHAERELLA; ENVIRONMENT; TEMPERATURE; MELANIN</t>
  </si>
  <si>
    <t>Fungal strains isolated from rocks and lichens collected in the Antarctic ice-free area of the Victoria Land, one of the coldest and driest habitats on earth, were found in two phylogenetically isolated positions within the subclass Dothideomycetidae. They are here reported as new genera and species, Recurvomyces mirabilis gen. nov., sp. nov. and Elasticomyces elasticus gen. nov., sp. nov. The nearest neighbours within the clades were other rock-inhabiting fungi from dry environments, either cold or hot. Plant-associated Mycosphaerella-like species, known as invaders of leathery leaves in semi-arid climates, are also phylogenetically related with the new taxa. The clusters are also related to the halophilic species Hortaea werneckii, as well as to acidophilic fungi. One of the latter, able to grow at pH 0, is Scytalidium acidophilum, which is ascribed here to the newly validated genus Acidomyces. The ecological implications of this finding are discussed.</t>
  </si>
  <si>
    <t>[Selbmann, L.; Zucconi, L.; Isola, D.; Ruisi, S.; Onofri, S.] Largo Univ, Univ Tuscia, DECOS, Viterbo, Italy; [de Hoog, G. S.; Van den Ende, A. H. G. Gerrits; Ruibal, C.] CBS Fungal Biodivers Ctr, NL-3508 AD Utrecht, Netherlands; [de Hoog, G. S.] Univ Amsterdam, Inst Biodivers &amp; Ecosyst Dynam, NL-1098 SM Amsterdam, Netherlands; [De Leo, F.; Urzi, C.] Univ Messina, Dipartimento Sci Microbiol Genet &amp; Mol, I-98166 Messina, Italy</t>
  </si>
  <si>
    <t>Tuscia University; Royal Netherlands Academy of Arts &amp; Sciences; Westerdijk Fungal Biodiversity Institute (KNAW); University of Amsterdam; University of Messina</t>
  </si>
  <si>
    <t>Selbmann, L (corresponding author), Largo Univ, Univ Tuscia, DECOS, Viterbo, Italy.</t>
  </si>
  <si>
    <t>selbmann@unitus.it</t>
  </si>
  <si>
    <t>Selbmann, Laura/L-3056-2013; De Leo, Filomena/H-6087-2012; Zucconi, L./U-9781-2018; Isola, Daniela/AAX-5814-2020; Urzi, Clara E/G-9675-2012; Ruibal Villasenor, Constantino/A-9402-2017</t>
  </si>
  <si>
    <t>Selbmann, Laura/0000-0002-8967-3329; De Leo, Filomena/0000-0003-2007-9601; Zucconi, L./0000-0001-9793-2303; Isola, Daniela/0000-0002-5069-6056; Ruibal Villasenor, Constantino/0000-0003-3494-7051; ONOFRI, Silvano/0000-0001-8872-1440; Urzi, Clara/0000-0001-7952-9422</t>
  </si>
  <si>
    <t>CENTRAALBUREAU SCHIMMELCULTURE</t>
  </si>
  <si>
    <t>UTRECHT</t>
  </si>
  <si>
    <t>PO BOX 85167, 3508 AD UTRECHT, NETHERLANDS</t>
  </si>
  <si>
    <t>0166-0616</t>
  </si>
  <si>
    <t>1872-9797</t>
  </si>
  <si>
    <t>STUD MYCOL</t>
  </si>
  <si>
    <t>Stud. Mycol.</t>
  </si>
  <si>
    <t>10.3114/sim.2008.61.01</t>
  </si>
  <si>
    <t>392IM</t>
  </si>
  <si>
    <t>hybrid, Green Accepted, Green Submitted, Green Published</t>
  </si>
  <si>
    <t>WOS:000262296400002</t>
  </si>
  <si>
    <t>Onofri, S; Barreca, D; Selbmann, L; Isola, D; Rabbow, E; Homeck, G; de Vera, JPP; Hatton, J; Zucconi, L</t>
  </si>
  <si>
    <t>Onofri, S.; Barreca, D.; Selbmann, L.; Isola, D.; Rabbow, E.; Homeck, G.; de Vera, J. P. P.; Hatton, J.; Zucconi, L.</t>
  </si>
  <si>
    <t>Resistance of Antarctic black fungi and cryptoendolithic communities to simulated space and Martian conditions</t>
  </si>
  <si>
    <t>Astrobiology; cryptoendolithic community; fungi; ground-based experiments; lithopanspermia; panspermia; space conditions; stress resistance; viability</t>
  </si>
  <si>
    <t>ENDOLITHIC MICROORGANISMS; CONTINENTAL ANTARCTICA; DRY VALLEYS; DESERT; ADAPTATION; ECOLOGY; MODELS; STATE; LIFE; MARS</t>
  </si>
  <si>
    <t>Dried colonies of the Antarctic rock-inhabiting meristematic fungi Cryomyces antarcticus CCFEE 515, CCFEE 534 and C. minted CCFEE 5187, as well as fragments of rocks colonized by the Antarctic cryptoendolithic community, were exposed to a set of ground-based experiment verification tests (EVTs) at the German Aerospace Center (DLR, Koln, Germany). These were carried out to test the tolerance of these organisms in view of their possible exposure to space conditions outside of the International Space Station (ISS). Tests included single or combined simulated space and Martian conditions. Responses were analysed both by cultural and microscopic methods. Thereby, colony formation capacities were measured and the cellular viability was assessed using live/dead dyes FUN 1 and SYTOX Green. The results clearly suggest a general good resistance of all the samples investigated. C. minted CCFEE 5187, C. antarcticus CCFEE 515 and colonized rocks were selected as suitable candidates to withstand space flight and long-term permanence in space on the ISS in the framework of the Lichens and Fungi Experiments (LIFE programme, European Space Agency).</t>
  </si>
  <si>
    <t>[Onofri, S.; Barreca, D.; Selbmann, L.; Isola, D.; Zucconi, L.] Largo Univ, Univ Tuscia, DECOS, Viterbo, Italy; [Rabbow, E.; Homeck, G.] Inst Aerosp Med, German Aerosp Ctr DLR, Cologne, Germany; [de Vera, J. P. P.] Univ Dusseldorf, Dusseldorf, Germany; [Hatton, J.] ESA ESTEC HME GA Noordwijk, Noordwijk, Netherlands</t>
  </si>
  <si>
    <t>Tuscia University; Helmholtz Association; German Aerospace Centre (DLR); Heinrich Heine University Dusseldorf; European Space Agency</t>
  </si>
  <si>
    <t>Onofri, S (corresponding author), Largo Univ, Univ Tuscia, DECOS, Viterbo, Italy.</t>
  </si>
  <si>
    <t>onofri@unitus.it</t>
  </si>
  <si>
    <t>Isola, Daniela/AAX-5814-2020; Zucconi, L./U-9781-2018; Selbmann, Laura/L-3056-2013</t>
  </si>
  <si>
    <t>Isola, Daniela/0000-0002-5069-6056; Zucconi, L./0000-0001-9793-2303; Selbmann, Laura/0000-0002-8967-3329; ONOFRI, Silvano/0000-0001-8872-1440</t>
  </si>
  <si>
    <t>10.3114/sim.2008.61.10</t>
  </si>
  <si>
    <t>hybrid, Green Published, Green Submitted</t>
  </si>
  <si>
    <t>WOS:000262296400011</t>
  </si>
  <si>
    <t>Dalebout, ML; Steel, D; Baker, CS</t>
  </si>
  <si>
    <t>Dalebout, Merel L.; Steel, Debbie; Baker, C. Scott</t>
  </si>
  <si>
    <t>Phylogeny of the Beaked Whale Genus Mesoplodon (Ziphiidae: Cetacea) Revealed by Nuclear Introns: Implications for the Evolution of Male Tusks</t>
  </si>
  <si>
    <t>SYSTEMATIC BIOLOGY</t>
  </si>
  <si>
    <t>Cetacean; nuclear introns; phylogeny; sexual selection; teeth; weapons</t>
  </si>
  <si>
    <t>SEXUAL SELECTION; BAYESIAN-INFERENCE; TOOTHED WHALES; CYTOCHROME-B; MORPHOLOGY; ADAPTATION; SEQUENCES; MODEL; IDENTIFICATION; CONFIDENCE</t>
  </si>
  <si>
    <t>With 14 species currently recognized, the beaked whale genus Mesoplodon (family Ziphiidae) is the most speciose in the order Cetacea. Beaked whales are widely distributed but are rarely seen at sea due to their oceanic distribution, deep-diving capacity, and apparent low abundance. Morphological differentiation among Mesoplodon species is relatively limited, with the exception of tooth form in adult males. Based on scarring patterns, males appear to use their tusk-like teeth as weapons in aggressive encounters with other males. Females are effectively toothless. We used sequences from seven nuclear introns (3348 base pairs) to construct a robust and highly resolved phylogeny, which was then used as a framework to test predictions from four hypotheses seeking to explain patterns of Mesoplodon tusk morphology and/or the processes that have driven the diversification of this genus: (1) linear progression of tusk form; (2) allopatric speciation through isolation in adjacent deep-sea canyons; (3) sympatric speciation through sexual selection on tusks; and (4) selection for species-recognition cues. Maximum-likelihood and Bayesian reconstructions confirmed the monophyly of the genus and revealed that what were considered ancestral and derived tusk forms have in fact arisen independently on several occasions, contrary to predictions from the linear-progression hypothesis. Further, none of the three well-supported species clades was confined to a single ocean basin, as might have been expected from the deep-sea canyon-isolation or sexual-selection hypotheses, and some species with similar tusks have overlapping distributions, contrary to predictions from the species-recognition hypothesis. However, the divergent tusk forms and sympatric distributions of three of the four sister-species pairs identified suggest that sexual selection on male tusks has likely played an important role in this unique radiation, although other forces are clearly also involved. To our knowledge, this is the first time that sexual selection has been explicitly implicated in the radiation of a mammalian group outside terrestrial ungulates.</t>
  </si>
  <si>
    <t>[Dalebout, Merel L.] Univ New S Wales, Sch Biol Earth &amp; Environm Sci, Kensington, NSW 2052, Australia; [Steel, Debbie; Baker, C. Scott] Univ Auckland, Sch Biol Sci, Auckland 1, New Zealand; [Steel, Debbie; Baker, C. Scott] Oregon State Univ, Marine Mammal Inst, Newport, OR 97365 USA; [Steel, Debbie; Baker, C. Scott] Oregon State Univ, Dept Fisheries &amp; Wildlife, Newport, OR 97365 USA</t>
  </si>
  <si>
    <t>University of New South Wales Sydney; University of Auckland; Oregon State University; Oregon State University</t>
  </si>
  <si>
    <t>Dalebout, ML (corresponding author), Univ New S Wales, Sch Biol Earth &amp; Environm Sci, Kensington, NSW 2052, Australia.</t>
  </si>
  <si>
    <t>m.dalebout@unsw.edu.au</t>
  </si>
  <si>
    <t>Steel, Debbie/0000-0001-5898-2850</t>
  </si>
  <si>
    <t>New Zealand Marsden; US Marine Mammal Commission; Committee for Research; Exploration of the National Geographic Society; UNSW</t>
  </si>
  <si>
    <t>New Zealand Marsden(Royal Society of New ZealandMarsden Fund (NZ)); US Marine Mammal Commission; Committee for Research; Exploration of the National Geographic Society(National Geographic Society); UNSW</t>
  </si>
  <si>
    <t>For collection and access to samples and specimens, we thank New Zealand Department of Conservation field center staff ( NZ); Kelly Robertson, US NMFS Southwest Fisheries Science Center ( SW); Bob Reid, Scottish Agricultural College ( SAC); Nick Gales, Australian Antarctic Division (WA); Marty Haulena, the Marine Mammal Center (TMMC), California; Paul Jepson, Institute of Zoology, London (NHMUK); John Heyning, Los Angeles County Museum of Natural History ( LAM); Charley Potter, Smithsonian Institution US National Museum of Natural History ( NE, WAM); Cath Kemper, South Australian Museum (SAM); Tadasu Yamada, National Science Museum, Japan (TSM); and John Wang, FormosaCetus, Taiwan (TW). Abbreviations in parentheses refer to species codes in Appendix 1. We thank Sarah Mesnick, US NMFS Southwest Fisheries Science Center, for initiating discussion regarding the role of sexual selection in the radiation of the Ziphiidae; Robin Beck, UNSW, for assistance with phylogenetic analyses; Vivian Ward, University of Auckland for beaked whale jaw images; and Andrew Glaser, New Zealand Department of Conservation, and Gina Lento, University of Auckland, for use of Gray's beaked whale photographs. This article benefitted from comments by William B. Sherwin, Systematic Biology Editor-in-Chief Jack Sullivan, Associate Editor Michael Charleston, and an anonymous reviewer. Funding for DNA sequencing was provided by grants to C. S. B. from the New Zealand Marsden Fund, the US Marine Mammal Commission, and the Committee for Research and Exploration of the National Geographic Society. M. L. D. is supported by a UNSW Vice-Chancellor's Postdoctoral Fellowship.</t>
  </si>
  <si>
    <t>1063-5157</t>
  </si>
  <si>
    <t>1076-836X</t>
  </si>
  <si>
    <t>SYST BIOL</t>
  </si>
  <si>
    <t>Syst. Biol.</t>
  </si>
  <si>
    <t>PII 906592768</t>
  </si>
  <si>
    <t>10.1080/10635150802559257</t>
  </si>
  <si>
    <t>Evolutionary Biology</t>
  </si>
  <si>
    <t>383IM</t>
  </si>
  <si>
    <t>WOS:000261667300004</t>
  </si>
  <si>
    <t>Nagtzaam, G; Lentini, P</t>
  </si>
  <si>
    <t>Nagtzaam, Gerry; Lentini, Pete</t>
  </si>
  <si>
    <t>Vigilantes on the high seas? The Sea Shepherds and political violence</t>
  </si>
  <si>
    <t>TERRORISM AND POLITICAL VIOLENCE</t>
  </si>
  <si>
    <t>animal rights violence; anti-whaling activism; delegitimatization model; Sea Shepherds; vigilantism</t>
  </si>
  <si>
    <t>TERRORISM</t>
  </si>
  <si>
    <t>Defining terrorism and explaining how it occurs remains a contentious issue. This article attempts to generate new understandings on these topics by applying the work of Ehud Sprinzak's delegitimatization model to the Sea Shepherds. Evidence presented in the article suggests that the Sea Shepherd's present level of political violence passed through gradual phases. In this respect, it is possible to suggest that Sprinzak's model has applicability for maritime organizations, as well as terrestrial based groups. However, we also note that on the one hand, it may be possible to argue that in some respects the Sea Shepherds may constitute either a blind spot in the literature on terrorism and political violence, because its actions could in some circumstances be considered activism, militant direct action, piracy, vigilantism, terrorism, or eco-defense, which makes it very difficult to classify. On the other hand, that both the Sea Shepherds and the whalers may both engage in illegal activities, but are not prosecuted, may indicate that states and the international community may have neither the will nor the means to enforce laws against them. Therefore, they may be turning a blind eye to their actions. Throughout the article we maintain that the Sea Shepherds constitute an example of a gray area phenomenon. Despite the ambiguity surrounding their legal status and academic interpretations of their actions, the results of nearly three decades of the organization's activities, including its 2007 campaign to disrupt Japanese Antarctic Whaling, suggest that the Sea Shepherds may be best categorized as a vigilante group, because they claim they are seeking to enforce a legal status quo because of states' and the international community's inabilities or unwillingness to do so.</t>
  </si>
  <si>
    <t>[Nagtzaam, Gerry] Monash Univ, Sch Environm Sci, Fac Law, Global Terrorism Res Ctr &amp; Polit, Clayton, Vic 3800, Australia; [Lentini, Pete] Monash Univ, Global Terrorism Res Ctr, Clayton, Vic 3145, Australia</t>
  </si>
  <si>
    <t>Monash University; Monash University</t>
  </si>
  <si>
    <t>Nagtzaam, G (corresponding author), Monash Univ, Sch Environm Sci, Fac Law, Global Terrorism Res Ctr &amp; Polit, Clayton Campus, Clayton, Vic 3800, Australia.</t>
  </si>
  <si>
    <t>gerry.nagtzaam@adm.monash.edu.au; Peter.Lentini@arts.monash.edu.au</t>
  </si>
  <si>
    <t>0954-6553</t>
  </si>
  <si>
    <t>1556-1836</t>
  </si>
  <si>
    <t>TERROR POLIT VIOLENC</t>
  </si>
  <si>
    <t>Terror. Polit. Violence</t>
  </si>
  <si>
    <t>10.1080/09546550701723658</t>
  </si>
  <si>
    <t>International Relations; Political Science</t>
  </si>
  <si>
    <t>International Relations; Government &amp; Law</t>
  </si>
  <si>
    <t>258TG</t>
  </si>
  <si>
    <t>WOS:000252891800006</t>
  </si>
  <si>
    <t>Batlló, J</t>
  </si>
  <si>
    <t>Batllo, J.</t>
  </si>
  <si>
    <t>Notes on the history of International Polar Years in Catalonia and Spain</t>
  </si>
  <si>
    <t>TETHYS-JOURNAL OF MEDITERRANEAN METEOROLOGY &amp; CLIMATOLOGY</t>
  </si>
  <si>
    <t>Polar Years; International Geophysical Year; history of meteorology</t>
  </si>
  <si>
    <t>On the occasion of the celebration of the current International Polar Year, this work presents a revision of the meaning and contributions of the three previous Polar Years, and the Catalan and Spanish contributions to previous editions. Although in the current edition there are scientific expeditions sent from the Iberian Peninsula to the Antarctic and the Arctic for the first time, participation in previous editions has not been insignificant, and has resulted in an improvement in Earth sciences in Catalonia and Spain.</t>
  </si>
  <si>
    <t>[Batllo, J.] Inst Geol Catalunya, C Balmes 209-211, E-08006 Barcelona, Spain</t>
  </si>
  <si>
    <t>Batlló, J (corresponding author), Inst Geol Catalunya, C Balmes 209-211, E-08006 Barcelona, Spain.</t>
  </si>
  <si>
    <t>jbatllo@igc.cat</t>
  </si>
  <si>
    <t>Batllo, Josep/K-6985-2012</t>
  </si>
  <si>
    <t>Batllo, Josep/0000-0002-2493-3070</t>
  </si>
  <si>
    <t>ASSOC CATALANA METEREOLOGIA-ACAM</t>
  </si>
  <si>
    <t>CORNELLA</t>
  </si>
  <si>
    <t>RAMBLA SOLANAS 25, CORNELLA, 08940, SPAIN</t>
  </si>
  <si>
    <t>1697-1523</t>
  </si>
  <si>
    <t>1139-3394</t>
  </si>
  <si>
    <t>TETHYS-J MEDITERR ME</t>
  </si>
  <si>
    <t>Tethys-J. Mediterr. Meteorol. Climatol.</t>
  </si>
  <si>
    <t>10.3369/tethys.2008.5.05</t>
  </si>
  <si>
    <t>V1Q1G</t>
  </si>
  <si>
    <t>WOS:000217132700005</t>
  </si>
  <si>
    <t>Seo, C; Yim, JH; Lee, HK; Park, SM; Sohn, JH; Oh, H</t>
  </si>
  <si>
    <t>Seo, Changon; Yim, Joung Han; Lee, Hong Kum; Park, Seong Min; Sohn, Jae-Hak; Oh, Hyuncheol</t>
  </si>
  <si>
    <t>Stereocalpin A, a bioactive cyclic depsipeptide from the Antarctic lichen Stereocaulon alpinum</t>
  </si>
  <si>
    <t>TETRAHEDRON LETTERS</t>
  </si>
  <si>
    <t>TYROSINE-PHOSPHATASE; METABOLITES; PTP1B</t>
  </si>
  <si>
    <t>A new cyclic depsipeptide stereocalpin A (1) has been isolated from the MeOH extract of the Antarctic lichen Stereocaulon alpinum by various chromatographic methods. The structure of stereocalpin A (1) was mainly determined by analysis of the NMR spectroscopic data and by chemical methods. Stereocalpin A (1) is a unique cyclic peptide incorporating an unprecedented 5-hydroxy-2,4-dimethyl-3-oxo-octanoic acid in the structure. Stereocalpin A (1) shows moderate cytotoxicity against three human solid tumor cell lines. (C) 2007 Elsevier Ltd. All rights reserved.</t>
  </si>
  <si>
    <t>[Seo, Changon; Sohn, Jae-Hak; Oh, Hyuncheol] Silla Univ, Coll Med &amp; Life Sci, Pusan 617736, South Korea; [Yim, Joung Han; Lee, Hong Kum] KORDI, Korean Polar Res Inst, Inchon 406840, South Korea; [Park, Seong Min] Pukyong Natl Univ, Ind Univ Cooperat Fdn, Pusan 608739, South Korea</t>
  </si>
  <si>
    <t>Silla University; Korea Institute of Ocean Science &amp; Technology (KIOST); Korea Polar Research Institute (KOPRI); Pukyong National University</t>
  </si>
  <si>
    <t>Oh, H (corresponding author), Silla Univ, Coll Med &amp; Life Sci, Pusan 617736, South Korea.</t>
  </si>
  <si>
    <t>0040-4039</t>
  </si>
  <si>
    <t>TETRAHEDRON LETT</t>
  </si>
  <si>
    <t>Tetrahedron Lett.</t>
  </si>
  <si>
    <t>10.1016/j.tetlet.2007.11.022</t>
  </si>
  <si>
    <t>Chemistry, Organic</t>
  </si>
  <si>
    <t>248KP</t>
  </si>
  <si>
    <t>WOS:000252152500005</t>
  </si>
  <si>
    <t>Lamers, M; Haase, D; Amelung, B</t>
  </si>
  <si>
    <t>Lamers, Machiel; Haase, Daniela; Amelung, Bas</t>
  </si>
  <si>
    <t>Facing the elements: analysing trends in Antarctic tourism</t>
  </si>
  <si>
    <t>TOURISM REVIEW</t>
  </si>
  <si>
    <t>Antarctica; Tourism</t>
  </si>
  <si>
    <t>Purpose - Tourism in Antarctica is rapidly growing and diversifying, which raises concerns about its impacts and the robustness of the current regulatory regime. Focusing on the analysis of past developments and trends of Antarctic tourism, this paper aims to describe the future opportunities for tourism in Antarctica. Design/methodology/approach - Using literature on the recreation opportunity spectrum (ROS) and ecotourism opportunity spectrum (ECOS), the paper analyzes the future opportunities of Antarctic tourism and the key factors that determine the window of opportunity for Antarctic tour operators. Findings - The analysis shows that tourism opportunities in Antarctica are defined by a combination of factors, which the authors integrate into an Antarctic tourism opportunity spectrum (ATOS). The paper argues that the opportunity settings for tourism in Antarctica vary from operations of increasing scale and efficiency to the continued development of smaller scale niche products, both of which will continue to diversify and drive the development of tourism in Antarctica. Research limitations/implications - The paper is an attempt to transfer the concept of ROS, originally designed for the operational level of national park management, to the more strategic level of tourism trends in Antarctica. The research findings are based on stakeholder interaction within a limited number of countries. Practical implications - The paper is a potential source of information and advice for policy makers and managers of Antarctic resources, as well as scholars interested in Antarctic tourism issues. Originality/value - The paper contributes to the ongoing debate on the regulation of tourism in Antarctica.</t>
  </si>
  <si>
    <t>[Lamers, Machiel; Amelung, Bas] Maastricht Univ, ICIS, Maastricht, Netherlands; [Haase, Daniela] Univ Canterbury, Gateway Antarctica, Christchurch, New Zealand</t>
  </si>
  <si>
    <t>Maastricht University; University of Canterbury</t>
  </si>
  <si>
    <t>Lamers, M (corresponding author), Maastricht Univ, ICIS, Maastricht, Netherlands.</t>
  </si>
  <si>
    <t>machiel.lamers@icis.unimaas.nl</t>
  </si>
  <si>
    <t>Amelung, Bas/AAD-4323-2019</t>
  </si>
  <si>
    <t>Amelung, Bas/0000-0001-8501-9787</t>
  </si>
  <si>
    <t>EMERALD GROUP PUBLISHING LTD</t>
  </si>
  <si>
    <t>BINGLEY</t>
  </si>
  <si>
    <t>HOWARD HOUSE, WAGON LANE, BINGLEY BD16 1WA, W YORKSHIRE, ENGLAND</t>
  </si>
  <si>
    <t>1660-5373</t>
  </si>
  <si>
    <t>1759-8451</t>
  </si>
  <si>
    <t>TOUR REV</t>
  </si>
  <si>
    <t>Tour. Rev.</t>
  </si>
  <si>
    <t>10.1108/16605370810861017</t>
  </si>
  <si>
    <t>Hospitality, Leisure, Sport &amp; Tourism</t>
  </si>
  <si>
    <t>Social Sciences - Other Topics</t>
  </si>
  <si>
    <t>V0H2V</t>
  </si>
  <si>
    <t>WOS:000216226800003</t>
  </si>
  <si>
    <t>Lévy, M</t>
  </si>
  <si>
    <t>Weiss, JB; Provenzale, A</t>
  </si>
  <si>
    <t>Levy, Marina</t>
  </si>
  <si>
    <t>The Modulation of Biological Production by Oceanic Mesoscale Turbulence</t>
  </si>
  <si>
    <t>TRANSPORT AND MIXING IN GEOPHYSICAL FLOWS</t>
  </si>
  <si>
    <t>Lecture Notes in Physics</t>
  </si>
  <si>
    <t>NORTHWESTERN MEDITERRANEAN SEA; ANTARCTIC POLAR FRONT; ATLANTIC TIME-SERIES; DEEP-WATER FORMATION; WARM-CORE RING; NORTH-ATLANTIC; GULF-STREAM; SPRING BLOOM; GLOBAL OCEAN; PHYTOPLANKTON PATCHINESS</t>
  </si>
  <si>
    <t>This chapter reviews the current state of knowledge on bio-physical interactions at mesoscale and at sub-mesoscale. It is focused on the mid-latitudes open ocean. From examples taken from my own studies or selected in the literature. I show how high-resolution process-oriented model studies have helped to improve our understanding. I follow a process oriented approach; I first discuss the role of mesoscale eddies in moderating the nutrient, flux into the well-lit euphotic zone. Then I address the impact on biogeochemistry of transport occurring on a horizontal scale smaller than the scale of an eddy. I show that submesoscale processes modulate biogeochemical budgets in a number of ways, through intense upwelling of nutrients, subduction of phytoplankton, and horizontal stirring. Finally, I emphasize that mesoscale and submesoscale dynamics have a strong impact on productivity through their influence oil the stratification of the surface of the ocean. These processes have in common that they concern the short-term, local effect of oceanic turbulence on biogeochemistry. Efforts are still needed before we call get a complete picture, which would also include the far-field long-term effect of the eddies.</t>
  </si>
  <si>
    <t>CNRS, LOCEAN IPSL, F-75252 Paris 05, France</t>
  </si>
  <si>
    <t>Sorbonne Universite; Centre National de la Recherche Scientifique (CNRS); Museum National d'Histoire Naturelle (MNHN)</t>
  </si>
  <si>
    <t>Lévy, M (corresponding author), CNRS, LOCEAN IPSL, BC 100,4 Pl Jussieu, F-75252 Paris 05, France.</t>
  </si>
  <si>
    <t>marina@lodyc.jussieu.fr</t>
  </si>
  <si>
    <t>Levy, Marina/A-1315-2012</t>
  </si>
  <si>
    <t>Levy, Marina/0000-0003-2961-608X</t>
  </si>
  <si>
    <t>0075-8450</t>
  </si>
  <si>
    <t>1616-6361</t>
  </si>
  <si>
    <t>978-3-540-75214-1</t>
  </si>
  <si>
    <t>LECT NOTES PHYS</t>
  </si>
  <si>
    <t>10.1007/978-3-540-75215-8_9</t>
  </si>
  <si>
    <t>10.1007/978-3-540-75215-8</t>
  </si>
  <si>
    <t>Physics, Applied; Physics, Fluids &amp; Plasmas</t>
  </si>
  <si>
    <t>BJM97</t>
  </si>
  <si>
    <t>WOS:000266831600009</t>
  </si>
  <si>
    <t>Pezza, AB; Simmonds, I</t>
  </si>
  <si>
    <t>Gimeno, L; GarciaHerrera, R; Trigo, RM</t>
  </si>
  <si>
    <t>Pezza, Alexandre Bernardes; Simmonds, Ian</t>
  </si>
  <si>
    <t>Large-scale Factors in Tropical. and Extratropical Cyclone Transition and Extreme Weather Events</t>
  </si>
  <si>
    <t>TRENDS AND DIRECTIONS IN CLIMATE RESEARCH</t>
  </si>
  <si>
    <t>Annals of the New York Academy of Sciences</t>
  </si>
  <si>
    <t>7th Annual Meeting of the European-Meteorology-Society (EMS) / 8th European Conference on Applications of Meteorology</t>
  </si>
  <si>
    <t>OCT 01-05, 2007</t>
  </si>
  <si>
    <t>San Lorenzo de El Escorial, SPAIN</t>
  </si>
  <si>
    <t>tropical transition; midlatitude storms; extratropical cyclones; hybrid systems; cold surges</t>
  </si>
  <si>
    <t>AUSTRALIAN REGION; SOUTH-AMERICA; ATLANTIC; CLIMATOLOGY; REANALYSIS; HURRICANE; OSCILLATIONS; CYCLOGENESIS; DIAGNOSTICS; ANOMALIES</t>
  </si>
  <si>
    <t>Transition mechanisms characterizing changes from hurricanes to midlatitude cyclones and vice-versa (extratropical and tropical transition) have become a topic of increasing interest, partially because of their association with recent unusual storms that have developed in different ocean basins of both hemispheres. The aim of this work is to discuss some recent cases of transition and highly unusual hurricane developments and to address some of their wider implications for climate science. Frequently those dramatic cyclones are responsible for severe weather, potentially causing significant damage to property and infrastructure. An additional manifestation discussed here is their association with cold surges, a topic that has been very little explored in the literature. In the Southern Hemisphere, the first South Atlantic hurricane, Catarina, developed in March 2004 under very unusual large-scale conditions. That exceptional cyclone is viewed as a case of tropical transition facilitated by a well-developed blocking structure. A new index for monitoring tropical transition in the subtropical South Atlantic is discussed. This South Atlantic index is used to show that the unusual flow during and prior to Catarina's genesis can be attributed to tropical/extratropical interaction mechanisms. The Donald Duck case in Australia and Vince in the North Atlantic have also been examined and shown to belong to a category of hybrid-transitioning systems that will achieve at least partial tropical transition. While clearly more research is needed on the topic of transition, as we gain further insight, it is becoming increasingly apparent that features of large-scale circulation do play a fundamental role. A complex interaction between an extratropical transition case and an extreme summer cold surge affecting southeastern Australia is discussed as an example of wider climate implications.</t>
  </si>
  <si>
    <t>[Pezza, Alexandre Bernardes; Simmonds, Ian] Univ Melbourne, Sch Earth Sci, Melbourne, Vic 3010, Australia</t>
  </si>
  <si>
    <t>University of Melbourne; Melbourne Bioinformatics</t>
  </si>
  <si>
    <t>Pezza, AB (corresponding author), Univ Melbourne, Sch Earth Sci, Melbourne, Vic 3010, Australia.</t>
  </si>
  <si>
    <t>Simmonds, Ian/0000-0002-4479-3255</t>
  </si>
  <si>
    <t>Australian Research Council; Antarctic Science Advisory Committee</t>
  </si>
  <si>
    <t>Australian Research Council(Australian Research Council); Antarctic Science Advisory Committee</t>
  </si>
  <si>
    <t>The authors would like to acknowledge the Australian Research Council and the Antarctic Science Advisory Committee for funding parts of this work.</t>
  </si>
  <si>
    <t>COMMERCE PLACE, 350 MAIN STREET, MALDEN 02148, MA USA</t>
  </si>
  <si>
    <t>0077-8923</t>
  </si>
  <si>
    <t>978-1-57331-732-0</t>
  </si>
  <si>
    <t>ANN NY ACAD SCI</t>
  </si>
  <si>
    <t>Ann.NY Acad.Sci.</t>
  </si>
  <si>
    <t>10.1196/annals.1446.005</t>
  </si>
  <si>
    <t>Meteorology &amp; Atmospheric Sciences; Multidisciplinary Sciences</t>
  </si>
  <si>
    <t>Conference Proceedings Citation Index - Science (CPCI-S); Science Citation Index Expanded (SCI-EXPANDED)</t>
  </si>
  <si>
    <t>Meteorology &amp; Atmospheric Sciences; Science &amp; Technology - Other Topics</t>
  </si>
  <si>
    <t>BIS03</t>
  </si>
  <si>
    <t>WOS:000262400700009</t>
  </si>
  <si>
    <t>van der Loeff, MMR; Geibert, W</t>
  </si>
  <si>
    <t>Krishnaswami, S; Cochran, JK</t>
  </si>
  <si>
    <t>van der Loeff, M. M. Rutgers; Geibert, W.</t>
  </si>
  <si>
    <t>U- AND Th-SERIES NUCLIDES AS TRACERS OF PARTICLE DYNAMICS, SCAVENGING AND BIOGEOCHEMICAL CYCLES IN THE OCEANS</t>
  </si>
  <si>
    <t>U-TH SERIES NUCLIDES IN AQUATIC SYSTEMS</t>
  </si>
  <si>
    <t>Radioactivity in the Environment</t>
  </si>
  <si>
    <t>PARTICULATE ORGANIC-MATTER; SEDIMENT-WATER INTERFACE; EASTERN NORTH-ATLANTIC; ANTARCTIC POLAR FRONT; THORIUM ISOTOPES; FRACTIONATING TH-230; EQUATORIAL PACIFIC; LITHOGENIC CLAYS; SURFACE WATERS; REMOVAL RATES</t>
  </si>
  <si>
    <t>[van der Loeff, M. M. Rutgers] Alfred Wegener Inst Polar &amp; Marine Res, Bremerhaven, Germany; [Geibert, W.] Univ Edinburgh, Sch Geosci, Edinburgh EH9 3JW, Midlothian, Scotland; [Geibert, W.] Scottish Assoc Marine Sci, Dunstaffnage Marine Lab, Oban PA37 1QA, Argyll, Scotland</t>
  </si>
  <si>
    <t>Helmholtz Association; Alfred Wegener Institute, Helmholtz Centre for Polar &amp; Marine Research; University of Edinburgh; UHI Millennium Institute</t>
  </si>
  <si>
    <t>van der Loeff, MMR (corresponding author), Alfred Wegener Inst Polar &amp; Marine Res, Bremerhaven, Germany.</t>
  </si>
  <si>
    <t>mloeff@awi.de</t>
  </si>
  <si>
    <t>1569-4860</t>
  </si>
  <si>
    <t>978-0-08-056488-3; 978-0-08-045012-4</t>
  </si>
  <si>
    <t>RADIOACTIV ENVIRONM</t>
  </si>
  <si>
    <t>10.1016/S1569-4860(07)00007-1</t>
  </si>
  <si>
    <t>Geochemistry &amp; Geophysics; Environmental Sciences; Water Resources</t>
  </si>
  <si>
    <t>Geochemistry &amp; Geophysics; Environmental Sciences &amp; Ecology; Water Resources</t>
  </si>
  <si>
    <t>BEH10</t>
  </si>
  <si>
    <t>WOS:000316552400007</t>
  </si>
  <si>
    <t>Ku, TL; Luo, SD</t>
  </si>
  <si>
    <t>Ku, Teh-Lung; Luo, Shangde</t>
  </si>
  <si>
    <t>OCEAN CIRCULATION/MIXING STUDIES WITH DECAY-SERIES ISOTOPES</t>
  </si>
  <si>
    <t>ANTHROPOGENIC RADIONUCLIDE DISTRIBUTIONS; VERTICAL EDDY DIFFUSION; NORTH-ATLANTIC; PACIFIC-OCEAN; MARINE GEOCHEMISTRY; EQUATORIAL PACIFIC; ANTARCTIC-OCEAN; EXCESS-RADON; THORIUM ISOTOPES; SURFACE WATERS</t>
  </si>
  <si>
    <t>[Ku, Teh-Lung] Univ So Calif, Dept Earth Sci, Los Angeles, CA 90089 USA; [Luo, Shangde] Natl Cheng Kung Univ, Dept Earth Sci, Tainan 70101, Taiwan</t>
  </si>
  <si>
    <t>University of Southern California; National Cheng Kung University</t>
  </si>
  <si>
    <t>Ku, TL (corresponding author), Univ So Calif, Dept Earth Sci, Los Angeles, CA 90089 USA.</t>
  </si>
  <si>
    <t>rku@usc.edu</t>
  </si>
  <si>
    <t>10.1016/S1569-4860(07)00009-5</t>
  </si>
  <si>
    <t>WOS:000316552400009</t>
  </si>
  <si>
    <t>Gray, DR; Foster, DA; Meert, JG; Goscombe, BD; Armstrong, R; Trouw, RAJ; Passchier, CW</t>
  </si>
  <si>
    <t>Pankhurst, GJ; Trouw, RAJ; DeBritoNeves, BB; DeWit, MJ</t>
  </si>
  <si>
    <t>Gray, D. R.; Foster, D. A.; Meert, J. G.; Goscombe, B. D.; Armstrong, R.; Trouw, R. A. J.; Passchier, C. W.</t>
  </si>
  <si>
    <t>A Damara orogen perspective on the assembly of southwestern Gondwana</t>
  </si>
  <si>
    <t>WEST GONDWANA: PRE-CENOZOIC CORRELATIONS ACROSS THE SOUTH ATLANTIC REGION</t>
  </si>
  <si>
    <t>AFRICAN GARIEP BELT; U-PB GEOCHRONOLOGY; WEST-CONGO OROGEN; PAN-AFRICAN; KAOKO BELT; TRANSPRESSIONAL OROGEN; INTRACRATONIC BRANCH; METAMORPHIC HISTORY; TECTONIC EVOLUTION; RIBEIRA OROGEN</t>
  </si>
  <si>
    <t>The Pan-African Damara orogenic system records Gondwana amalgamation involving serial suturing of the Congo-Sao Francisco and Rio de la Plata cratons (North Gondwana) from 580 to 550 Ma, before amalgamation with the Kalahari-Antarctic cratons (South Gondwana) as part of the 530 Ma Kuunga-Damara orogeny. Closure of the Adamastor Ocean was diachronous from the Aracuai Belt southwards, with peak sinistral transpressional deformation followed by craton overthrusting and foreland basin development at 580-550 Ma in the Kaoko Belt and at 545-530 Ma in the Gariep Belt. Peak deformation/metamorphism in the Damara Belt was at 530-500 Ma, with thrusting onto the Kalahari Craton from 495 Ma through to 480 Ma. Coupling of the Congo and Rio de la Plata cratons occurred before final closure of the Mozambique and Khomas (Damara Belt) oceans with the consequence that the Kuunga suture extends into Africa as the Damara Belt, and the Lufilian Arc and Zambezi Belt of Zambia. Palaeomagnetic data indicate that the Gondwana cratonic components were in close proximity by c. 550 Ma, so the last stages of the Damara-Kuunga orogeny were intracratonic, and led to eventual out-stepping of deformation/metamorphism to the Ross-Delamerian orogen (c. 520-500 Ma) along the leading edge of the Gondwana supercontinental margin.</t>
  </si>
  <si>
    <t>[Gray, D. R.] Univ Melbourne, Sch Earth Sci, Melbourne, Vic 3010, Australia; [Foster, D. A.; Meert, J. G.] Univ Florida, Dept Geol Sci, Gainesville, FL 32611 USA; [Goscombe, B. D.] Univ Adelaide, Sch Earth &amp; Environm Sci, Adelaide, SA 5005, Australia; [Armstrong, R.] Australian Natl Univ, Sch Earth Sci, Canberra, ACT, Australia; [Trouw, R. A. J.] Univ Fed Rio de Janeiro, Inst Geociencias, BR-21949900 Rio De Janeiro, Brazil; [Passchier, C. W.] Johannes Gutenberg Univ Mainz, Inst Geoswissensch, D-55099 Mainz, Germany</t>
  </si>
  <si>
    <t>University of Melbourne; Melbourne Bioinformatics; State University System of Florida; University of Florida; University of Adelaide; Australian National University; Universidade Federal do Rio de Janeiro; Johannes Gutenberg University of Mainz</t>
  </si>
  <si>
    <t>Gray, DR (corresponding author), Geostruct Pty Ltd, Melbourne, Vic, Australia.</t>
  </si>
  <si>
    <t>drgray@unimelb.edu.au</t>
  </si>
  <si>
    <t>Foster, David A/F-1727-2010; Meert, Joseph/D-9633-2014</t>
  </si>
  <si>
    <t>Foster, David A./0000-0002-5603-9372; Meert, Joseph/0000-0003-0297-3239</t>
  </si>
  <si>
    <t>Division Of Earth Sciences; Directorate For Geosciences [0738874] Funding Source: National Science Foundation</t>
  </si>
  <si>
    <t>Division Of Earth Sciences; Directorate For Geosciences(National Science Foundation (NSF)NSF - Directorate for Geosciences (GEO))</t>
  </si>
  <si>
    <t>978-1-86239-247-2</t>
  </si>
  <si>
    <t>10.1144/SP294.14</t>
  </si>
  <si>
    <t>BKH02</t>
  </si>
  <si>
    <t>WOS:000268051900015</t>
  </si>
  <si>
    <t>Fewster, RM; Southwell, C; Borchers, DL; Buckland, ST; Pople, AR</t>
  </si>
  <si>
    <t>Fewster, Rachel M.; Southwell, Colin; Borchers, David L.; Buckland, Stephen T.; Pople, Anthony R.</t>
  </si>
  <si>
    <t>The influence of animal mobility on the assumption of uniform distances in aerial line-transect surveys</t>
  </si>
  <si>
    <t>WILDLIFE RESEARCH</t>
  </si>
  <si>
    <t>PACK-ICE; PENGUINS</t>
  </si>
  <si>
    <t>Line-transect distance sampling is a widely used method for estimating animal density from aerial surveys. Analysis of line-transect distance data usually relies on a requirement that the statistical distribution of distances of animal groups from the transect line is uniform. We show that this requirement is satisfied by the survey design if all other assumptions of distance sampling hold, but it can be violated by consistent survey problems such as responsive movement of the animals towards or away from the observer. We hypothesise that problems with the uniform requirement are unlikely to be encountered for immobile taxa, but might become substantial for species of high mobility. We test evidence for non-uniformity using double-observer distance data from two aerial surveys of five species with a spectrum of mobility capabilities and tendencies. No clear evidence against uniformity was found for crabeater seals or emperor penguins on the pack-ice in East Antarctica, while minor non-uniformity consistent with responsive movement up to 30 m was found for Adelie penguins. Strong evidence of either non-uniformity or a failure of the capture-recapture validating method was found for eastern grey kangaroos and red kangaroos in Queensland.</t>
  </si>
  <si>
    <t>[Fewster, Rachel M.] Univ Auckland, Dept Stat, Auckland 1, New Zealand; [Southwell, Colin] Australian Antarctic Div, Kingston, Tas 7050, Australia; [Borchers, David L.; Buckland, Stephen T.] Univ St Andrews, CREEM, The Observatory, St Andrews KY16 9LZ, Fife, Scotland; [Pople, Anthony R.] Dept Primary Ind &amp; Fisheries, Brisbane, Qld 4001, Australia</t>
  </si>
  <si>
    <t>University of Auckland; Australian Antarctic Division; University of St Andrews</t>
  </si>
  <si>
    <t>Fewster, RM (corresponding author), Univ Auckland, Dept Stat, Private Bag 92019, Auckland 1, New Zealand.</t>
  </si>
  <si>
    <t>r.fewster@auckland.ac.nz</t>
  </si>
  <si>
    <t>, David/X-5730-2019; Buckland, Stephen T/A-1998-2012</t>
  </si>
  <si>
    <t>Borchers, David/0000-0002-3944-0754; Fewster, Rachel/0000-0002-4384-978X</t>
  </si>
  <si>
    <t>1035-3712</t>
  </si>
  <si>
    <t>1448-5494</t>
  </si>
  <si>
    <t>WILDLIFE RES</t>
  </si>
  <si>
    <t>Wildl. Res.</t>
  </si>
  <si>
    <t>10.1071/WR07077</t>
  </si>
  <si>
    <t>Ecology; Zoology</t>
  </si>
  <si>
    <t>Environmental Sciences &amp; Ecology; Zoology</t>
  </si>
  <si>
    <t>319CG</t>
  </si>
  <si>
    <t>WOS:000257140300005</t>
  </si>
  <si>
    <t>Laake, J; Guenzel, RJ; Bengtson, JL; Boveng, P; Cameron, M; Hanson, MB</t>
  </si>
  <si>
    <t>Laake, Jeff; Guenzel, Richard J.; Bengtson, John L.; Boveng, Peter; Cameron, Michael; Hanson, M. Bradley</t>
  </si>
  <si>
    <t>Coping with variation in aerial survey protocol for line-transect sampling</t>
  </si>
  <si>
    <t>VISIBILITY BIAS</t>
  </si>
  <si>
    <t>Altitude and flight speed affect detection probability and they typically vary during the course of most aerial surveys. We demonstrate how these sources of variation can be accommodated with covariates in a line-transect analysis using data from a pronghorn (Antilocapra americana) survey in Wyoming and a survey of Antarctic ice seals (Lobodon carcinophaga, Leptonychotes weddellii, Hydrurga leptonyx, Ommatophoca rossii). We also show how the likelihood for binned distance data can be modified to allow for variation in altitude. As an alternative, we develop an estimator for aerial line-transect sampling based on vertical angles rather than distance. With a small simulation study, we show that our estimators are unbiased and are preferable to using biased estimators based on fixed-distance intervals derived from average altitude.</t>
  </si>
  <si>
    <t>[Laake, Jeff; Bengtson, John L.; Boveng, Peter; Cameron, Michael] NOAA, Natl Marine Fisheries Serv, Alaska Fisheries Sci Ctr, Natl Marine Mammal Lab, Seattle, WA 98115 USA; [Guenzel, Richard J.] Wyoming Game &amp; Fish Dept, Laramie, WY 82070 USA; [Hanson, M. Bradley] NOAA, Natl Marine Fisheries Serv, NW Fisheries Sci Ctr, Seattle, WA 98112 USA</t>
  </si>
  <si>
    <t>National Oceanic Atmospheric Admin (NOAA) - USA; National Oceanic Atmospheric Admin (NOAA) - USA</t>
  </si>
  <si>
    <t>Laake, J (corresponding author), NOAA, Natl Marine Fisheries Serv, Alaska Fisheries Sci Ctr, Natl Marine Mammal Lab, Seattle, WA 98115 USA.</t>
  </si>
  <si>
    <t>jeff.laake@noaa.gov</t>
  </si>
  <si>
    <t>10.1071/WR07065</t>
  </si>
  <si>
    <t>WOS:000257140300006</t>
  </si>
  <si>
    <t>Southwell, C; Paxton, CGM; Borchers, DL</t>
  </si>
  <si>
    <t>Southwell, Colin; Paxton, Charles G. M.; Borchers, David L.</t>
  </si>
  <si>
    <t>Detectability of penguins in aerial surveys over the pack-ice off Antarctica</t>
  </si>
  <si>
    <t>EATER SEAL ABUNDANCE; VISIBILITY BIAS; MARK-RECAPTURE; LINE; MODELS; SIZE</t>
  </si>
  <si>
    <t>Knowledge of penguin abundance at regional and circumpolar scales across the Southern Ocean is important for the development of ecosystem models and to estimate prey consumption by penguins to assess potential competition with fisheries' operations. One means of estimating penguin abundance is to undertake aerial surveys across the pack-ice surrounding Antarctica where penguins forage. However, it has long been recognised that aerial counts and resultant abundance estimates are likely to be negatively biased unless detectability is estimated and taken into account. Mark-recapture line-transect methods were used to estimate the detectability of penguin groups resting on ice floes during helicopter surveys over the pack-ice off Antarctica. Group size had the greatest effect of several measured covariates on detectability. Despite a concerted effort to meet the central assumption of conventional line-transect sampling (all objects on the transect line are detected), this was close to being achieved by single observers only in the case of the occasional very large group of &gt; 20 penguins. Emperor penguins were more detectable than Adelie penguins. Although observers undertook an extensive simulation training program before the survey, overall they improved in their ability to detect penguin groups throughout the survey. Mark-recapture line-transect methods can provide less biased estimation than conventional line-transect methods in aerial survey applications. This improvement comes with some costs, including the need for more demanding data-recording procedures and the need to use larger, more expensive aircraft. These additional costs will often be small compared with the basic cost, but the gain in terms of improved estimation may be substantial.</t>
  </si>
  <si>
    <t>[Southwell, Colin] Australian Antarctic Div, Dept Environm Water Heritage &amp; Arts, Kingston, Tas 7050, Australia; [Paxton, Charles G. M.; Borchers, David L.] Univ St Andrews, Sch Math &amp; Stat, St Andrews KY16 9SS, Fife, Scotland</t>
  </si>
  <si>
    <t>Australian Antarctic Division; University of St Andrews</t>
  </si>
  <si>
    <t>Southwell, C (corresponding author), Australian Antarctic Div, Dept Environm Water Heritage &amp; Arts, 203 Channel Highway, Kingston, Tas 7050, Australia.</t>
  </si>
  <si>
    <t>colin.southwell@aad.gov.au</t>
  </si>
  <si>
    <t>, David/X-5730-2019</t>
  </si>
  <si>
    <t>Borchers, David/0000-0002-3944-0754; Paxton, Charles/0000-0002-9350-3197</t>
  </si>
  <si>
    <t>10.1071/WR07093</t>
  </si>
  <si>
    <t>WOS:000257140300012</t>
  </si>
  <si>
    <t>Algar, D; Brazell, RI</t>
  </si>
  <si>
    <t>Algar, D.; Brazell, R. I.</t>
  </si>
  <si>
    <t>A bait-suspension device for the control of feral cats</t>
  </si>
  <si>
    <t>ANTARCTIC MARION-ISLAND; INDIAN-OCEAN; FELIS-CATUS; DIET; CONSERVATION; ERADICATION</t>
  </si>
  <si>
    <t>The use of poison baits is an effective method for controlling feral cats. However, take of baits by non-target animals may place those animals at risk of poisoning and also reduces the availability of baits to the target animal, feral cats. Therefore, techniques that reduce non-target take of baits are desirable. Earlier trials have suggested that suspending baits might prevent most non-target animals from removing the baits while maintaining their attractiveness and availability to feral cats. This paper assesses the efficacy of a bait-suspension device to provide a relatively simple means of controlling feral cats (across age and sex classes). In addition, it confirms the high target specificity of the bait-delivery mechanism on Australia's Christmas Island, where non-target species would have posed a problem with baits laid on the ground. The technique may have potential application on other islands where similar non-target species are threatened by baiting programs or at specific sites on the mainland where aerial or on-track deployment of feral cat baits may pose an unacceptable risk to non-target species.</t>
  </si>
  <si>
    <t>[Algar, D.] Dept Environm &amp; Conservat, Div Sci, Wanneroo, WA 6065, Australia; [Brazell, R. I.] Dept Environm &amp; Conservat, Collie, WA 6225, Australia</t>
  </si>
  <si>
    <t>Algar, D (corresponding author), Dept Environm &amp; Conservat, Div Sci, POB 51, Wanneroo, WA 6065, Australia.</t>
  </si>
  <si>
    <t>dave.algar@dec.wa.gov.au</t>
  </si>
  <si>
    <t>Christmas Island Phosphate</t>
  </si>
  <si>
    <t>We acknowledge the financial support provided by Christmas Island Phosphate for this feasibility study. Thanks are extended to Joy Wickenden (Environmental Adviser) from Christmas Island Phosphates, Alistair Graham (Government Conservator), Azmi Yon (Senior Ranger) from Parks Australia North for assistance while we were on the island. We also thank the people of Christmas Island for their hospitality during our visit. Fig. 1 was drawn by J. McRae. The draft manuscript was improved with the comments from three anonymous referees. The trapping technique has been approved by the Department of Environment and Conservation Animal Ethics Committee (CAEC No. 2001/17).</t>
  </si>
  <si>
    <t>10.1071/WR07167</t>
  </si>
  <si>
    <t>338OS</t>
  </si>
  <si>
    <t>WOS:000258517900011</t>
  </si>
  <si>
    <t>Wanless, RM; Fisher, P; Cooper, J; Parkes, J; Ryan, PG; Slabber, M</t>
  </si>
  <si>
    <t>Wanless, Ross M.; Fisher, Penny; Cooper, John; Parkes, John; Ryan, Peter G.; Slabber, Martin</t>
  </si>
  <si>
    <t>Bait acceptance by house mice: an island field trial</t>
  </si>
  <si>
    <t>GOUGH ISLAND; RHODAMINE-B; MARKER; RATS</t>
  </si>
  <si>
    <t>Predation by introduced house mice Mus musculus on islands is one cause of decline in native birds and has deleterious impacts on other ecological aspects. Eradication of rats (Rattus spp.) from islands of up to &gt; 10 000 ha has been achieved, but for mice scale is still an issue with the largest island cleared being only 710 ha. The feasibility of eradicating mice from larger islands is being considered, and to support these assessments, we undertook a field study on Gough Island (6400 ha) to determine whether all mice would be likely to accept toxic bait. We replicated a toxic bait operation as closely as possible, in timing, probable bait density and distribution, using a bait formulation used commonly in rodent eradication operations. Baits lacked toxin but were coated with the fluorescent dye rhodamine B. Mice trapped in and around the baited areas were inspected under ultraviolet light for fluorescent marking indicative of bait consumption. Of 434 mice, 97% tested positive, including mice trapped on assessment lines up to 90m from the closest bait. There was no difference in the proportions of unstained mice from assessment lines outside baited sites compared with mice trapped in the core baited sites, suggesting large-scale foraging movements over relatively large distances into the baited sites from surrounding, non-baited habitat. Despite the high bait densities (15.7 kg ha(-1) at initial application and 7.9 kg ha(-1) at second application), bait consumption rates of similar to 4 kg ha(-1) day(-1) occurred after both applications. This was much higher than expected (probably the result of large-scale movements) and meant that all baits were consumed before trapping began. Thus the 13 unstained mice trapped in the core of the baited area may have moved there after bait was consumed. Further trials are required to assess whether all unmarked mice were false negatives (not exposed to bait) or if any were true negatives (rejected bait). A separate experiment found that all 11 mice trapped in a cave had eaten bait applied aboveground around the cave's entrances, suggesting that caves do not serve as refugia for mice and are thus unlikely to compromise an eradication attempt.</t>
  </si>
  <si>
    <t>[Wanless, Ross M.; Ryan, Peter G.; Slabber, Martin] Univ Cape Town, Ctr Excellence, DST NRF, Percy Fitzpatrick Inst African Ornithol, ZA-7701 Rondebosch, South Africa; [Wanless, Ross M.; Cooper, John] Conservat &amp; Restorat CORE Initiat, ZA-7700 Rondebosch, South Africa; [Fisher, Penny; Parkes, John] Landcare Res, Lincoln 7640, New Zealand; [Cooper, John] Univ Cape Town, Dept Zool, Anim Demog Unit, ZA-7701 Rondebosch, South Africa</t>
  </si>
  <si>
    <t>National Research Foundation - South Africa; University of Cape Town; Landcare Research - New Zealand; University of Cape Town</t>
  </si>
  <si>
    <t>Wanless, RM (corresponding author), Univ Cape Town, Ctr Excellence, DST NRF, Percy Fitzpatrick Inst African Ornithol, ZA-7701 Rondebosch, South Africa.</t>
  </si>
  <si>
    <t>rosswanless@gmail.com</t>
  </si>
  <si>
    <t>Fisher, Penny/AAA-8584-2019</t>
  </si>
  <si>
    <t>Fisher, Penny/0000-0003-1268-4537; Ryan, Peter/0000-0002-3356-2056</t>
  </si>
  <si>
    <t>Centre of Excellence at the Percy FitzPatrick Institute (University of Cape Town); Landcare Research (New Zealand)</t>
  </si>
  <si>
    <t>Brian Bowie and Petrus Kritzinger are thanked for their invaluable assistance in the field, Andrea Airey for laboratory work and Christine Bezar for final manuscript preparation. Fieldwork on Gough Island was undertaken by RMW and MS while working on the UK Overseas Territories Environment Program funded 'Managing Alien Plants on the Outer Islands' project. Bait, shipping and equipment costs were funded by the Centre of Excellence at the Percy FitzPatrick Institute (University of Cape Town) and laboratory work was funded by Landcare Research (New Zealand). Ovenstone Agencies is thanked for transport to and from Gough Island, and logistical support at Gough Island was provided by the South African Department of Environmental Affairs and Tourism through the South African National Antarctic Programme. Research was conducted with the permission of the Administrator and Island Council of Tristan da Cunha and approval of the Tristan Biodiversity Advisory Group. James Russell commented on an earlier version and Geoff Hilton and Richard Cuthbert contributed to the experimental design.</t>
  </si>
  <si>
    <t>10.1071/WR08045</t>
  </si>
  <si>
    <t>384TV</t>
  </si>
  <si>
    <t>WOS:000261768000009</t>
  </si>
  <si>
    <t>Gorham, PW; Allison, P; Barwick, SW; Beatty, JJ; Besson, DZ; Binns, WR; Chen, C; Chen, P; Clem, JM; Connolly, A; Dowkontt, PF; DuVernois, MA; Field, RC; Goldstein, D; Goodhue, A; Hast, C; Hebert, CL; Hoover, S; Israel, MH; Kowalski, J; Learned, JG; Liewer, KM; Link, JT; Lusczek, E; Matsuno, S; Mercurio, BC; Miki, C; Miocinovic, P; Nam, J; Naudet, CJ; Ng, J; Nichol, RJ; Palladino, K; Reil, K; Romero-Wolf, A; Rosen, M; Ruckman, L; Saltzberg, D; Seckel, D; Varner, GS; Walz, D; Wang, Y; Wu, F</t>
  </si>
  <si>
    <t>Adams, J; Halzen, F; Parke, S</t>
  </si>
  <si>
    <t>Gorham, P. W.; Allison, P.; Barwick, S. W.; Beatty, J. J.; Besson, D. Z.; Binns, W. R.; Chen, C.; Chen, P.; Clem, J. M.; Connolly, A.; Dowkontt, P. F.; DuVernois, M. A.; Field, R. C.; Goldstein, D.; Goodhue, A.; Hast, C.; Hebert, C. L.; Hoover, S.; Israel, M. H.; Kowalski, J.; Learned, J. G.; Liewer, K. M.; Link, J. T.; Lusczek, E.; Matsuno, S.; Mercurio, B. C.; Miki, C.; Miocinovic, P.; Nam, J.; Naudet, C. J.; Ng, J.; Nichol, R. J.; Palladino, K.; Reil, K.; Romero-Wolf, A.; Rosen, M.; Ruckman, L.; Saltzberg, D.; Seckel, D.; Varner, G. S.; Walz, D.; Wang, Y.; Wu, F.</t>
  </si>
  <si>
    <t>Initial Results from the ANITA 2006-2007 Balloon Flight</t>
  </si>
  <si>
    <t>XXIII CONFERENCE ON NEUTRINO PHYSICS AND ASTROPHYSICS</t>
  </si>
  <si>
    <t>23rd International Conference on Neutrino Physics and Astrophysics</t>
  </si>
  <si>
    <t>MAY 25-31, 2008</t>
  </si>
  <si>
    <t>Christchurch, NEW ZEALAND</t>
  </si>
  <si>
    <t>NEUTRINOS; CONSTRAINTS; EMISSION; FLUXES; CHARGE; RAYS</t>
  </si>
  <si>
    <t>We report initial results of the Antarctic Impulsive Transient Antenna (ANITA) 2006-2007 Long Duration Balloon flight, which searched for evidence of the flux of cosmogenic neutrinos. ANITA flew for 35 days looking for radio impulses that might be due to the Askaryan effect in neutrino-induced electromagnetic showers within the Antarctic ice sheets. In our initial high-threshold robust analysis, no neutrino candidates are seen, with no physics background. In a non-signal horizontal-polarization channel, we do detect 6 events consistent with radio impulses from extensive air showers, which helps to validate the effectiveness of our method. Upper limits derived from our analysis now begin to eliminate the highest cosmogenic neutrino models.</t>
  </si>
  <si>
    <t>[Gorham, P. W.; Allison, P.; Hebert, C. L.; Kowalski, J.; Learned, J. G.; Link, J. T.; Matsuno, S.; Miki, C.; Miocinovic, P.; Romero-Wolf, A.; Rosen, M.; Ruckman, L.; Varner, G. S.] Univ Hawaii, Dept Phys &amp; Astron, Manoa, HI 96822 USA; [Gorham, P. W.; Allison, P.; Hebert, C. L.; Kowalski, J.; Learned, J. G.; Link, J. T.; Matsuno, S.; Miki, C.; Miocinovic, P.; Romero-Wolf, A.; Rosen, M.; Ruckman, L.; Varner, G. S.] Univ Hawaii Manoa, Dept Phys &amp; Astron, Honolulu, HI 96822 USA; [Barwick, S. W.; Goldstein, D.; Nam, J.; Wu, F.] Univ Calif Irvine, Irvine, CA 92697 USA; [Beatty, J. J.; Mercurio, B. C.; Palladino, K.] Ohio State Univ, Dept Phys, Columbus, OH 43210 USA; [Besson, D. Z.] Univ Kansas, Dept Phys &amp; Astron, Lawrence, KS 66045 USA; [Binns, W. R.; Dowkontt, P. F.] Washington Univ, Dept Phys, St Louis, MO 63130 USA; [Chen, C.; Chen, P.; Field, R. C.; Hast, C.; Ng, J.; Reil, K.; Walz, D.] Stand Linear Accelerator Ctr, Menlo Pk, CA 94025 USA; [Clem, J. M.; Seckel, D.] Univ Delaware, Newark, DE 19716 USA; [Goodhue, A.; Hoover, S.; Saltzberg, D.] Univ Calif Los Angeles, Dept Phys &amp; Astron, Los Angeles, CA 90095 USA; [DuVernois, M. A.; Lusczek, E.] Univ Minnesota, Sch Phys &amp; Astron, Minneapolis, MN 55455 USA; [Liewer, K. M.; Naudet, C. J.] Jet Prop Lab, Pasadena, CA 91109 USA; [Connolly, A.; Nichol, R. J.] UCL, Dept Phys, London, England; [Nam, J.; Wang, Y.] Natl Taiwan Univ, Dept Phys, Taipei 10764, Taiwan; [Link, J. T.] NASA, Goddard Space Flight Ctr, Greenbelt, MD 20771 USA</t>
  </si>
  <si>
    <t>University of Hawaii System; University of Hawaii Manoa; University of Hawaii System; University of Hawaii Manoa; University of California System; University of California Irvine; University System of Ohio; Ohio State University; University of Kansas; Washington University (WUSTL); Stanford University; United States Department of Energy (DOE); SLAC National Accelerator Laboratory; University of Delaware; University of California System; University of California Los Angeles; University of Minnesota System; University of Minnesota Twin Cities; National Aeronautics &amp; Space Administration (NASA); NASA Jet Propulsion Laboratory (JPL); University of London; University College London; National Taiwan University; National Aeronautics &amp; Space Administration (NASA); NASA Goddard Space Flight Center</t>
  </si>
  <si>
    <t>Gorham, PW (corresponding author), Univ Hawaii, Dept Phys &amp; Astron, Manoa, HI 96822 USA.;Gorham, PW (corresponding author), Univ Hawaii Manoa, Dept Phys &amp; Astron, Honolulu, HI 96822 USA.</t>
  </si>
  <si>
    <t>gorham@phys.hawaii.edu</t>
  </si>
  <si>
    <t>Beatty, James/D-9310-2011; Nichol, Ryan/C-1645-2008; Vieregg, Abigail/D-2287-2012</t>
  </si>
  <si>
    <t>Beatty, James/0000-0003-0481-4952; Nichol, Ryan/0000-0003-0557-0443;</t>
  </si>
  <si>
    <t>US Department of Energy [DE-AC02-76SF00515.]</t>
  </si>
  <si>
    <t>US Department of Energy(United States Department of Energy (DOE))</t>
  </si>
  <si>
    <t>Work supported in part by US Department of Energy contract DE-AC02-76SF00515.</t>
  </si>
  <si>
    <t>1742-6596</t>
  </si>
  <si>
    <t>10.1088/1742-6596/136/2/022052</t>
  </si>
  <si>
    <t>Astronomy &amp; Astrophysics; Physics, Particles &amp; Fields</t>
  </si>
  <si>
    <t>Astronomy &amp; Astrophysics; Physics</t>
  </si>
  <si>
    <t>BQO14</t>
  </si>
  <si>
    <t>WOS:000281436000054</t>
  </si>
  <si>
    <t>Nahnhauer, R</t>
  </si>
  <si>
    <t>Nahnhauer, R.</t>
  </si>
  <si>
    <t>IceCube Acoustic Neutrino Detectio</t>
  </si>
  <si>
    <t>Measurements of Antarctic ice properties for acoustic neutrino detection</t>
  </si>
  <si>
    <t>[Nahnhauer, R.] DESY, D-15738 Zeuthen, Germany</t>
  </si>
  <si>
    <t>Helmholtz Association; Deutsches Elektronen-Synchrotron (DESY)</t>
  </si>
  <si>
    <t>Rolf.Nahnhauer@desy.de</t>
  </si>
  <si>
    <t>10.1088/1742-6596/136/4/042061</t>
  </si>
  <si>
    <t>WOS:000281436000121</t>
  </si>
  <si>
    <t>Moline, MA; Karnovsky, NJ; Brown, Z; Divoky, GJ; Frazer, TK; Jacoby, CA; Torrese, JJ; Fraser, WR</t>
  </si>
  <si>
    <t>Ostfeld, RS; Schlesinger, WH</t>
  </si>
  <si>
    <t>Moline, Mark A.; Karnovsky, Nina J.; Brown, Zachary; Divoky, George J.; Frazer, Thomas K.; Jacoby, Charles A.; Torrese, Joseph J.; Fraser, William R.</t>
  </si>
  <si>
    <t>High latitude changes in ice dynamics and their impact on polar marine ecosystems</t>
  </si>
  <si>
    <t>YEAR IN ECOLOGY AND CONSERVATION BIOLOGY 2008</t>
  </si>
  <si>
    <t>Annals of the New York Academy of Sciences-Series</t>
  </si>
  <si>
    <t>polar ecosystems; climate change; sea ice; trophic cascade; match-mismatch; phenology</t>
  </si>
  <si>
    <t>KRILL EUPHAUSIA-SUPERBA; ANTARCTIC SEA-ICE; GULL PAGOPHILA-EBURNEA; NORTH-ATLANTIC OSCILLATION; SYMPAGIC MACRO-FAUNA; FILTER-FEEDING RATES; COD BOREOGADUS-SAIDA; ARCTIC PACK ICE; CLIMATE-CHANGE; SOUTHERN-OCEAN</t>
  </si>
  <si>
    <t>Polar regions have experienced significant warming in recent decades. Warming has been most pronounced across the Arctic Ocean Basin and along the Antarctic Peninsula, with significant decreases in the extent and seasonal duration of sea ice. Rapid retreat of glaciers and disintegration of ice sheets have also been documented. The rate of warming is increasing and is predicted to continue well into the current century, with continued impacts on ice dynamics. Climate-mediated changes in ice dynamics are a concern as ice serves as primary habitat for marine organisms central to the food webs of these regions. Changes in the timing and extent of sea ice impose temporal asynchronies and spatial separations between energy requirements and food availability for many higher trophic levels. These mismatches lead to decreased reproductive success, lower abundances, and changes in distribution. In addition to these direct impacts of ice loss, climate-induced changes also facilitate indirect effects through changes in hydrography, which include introduction of species from lower latitudes and altered assemblages of primary producers. Here, we review recent changes and trends in ice dynamics and the responses of marine ecosystems. Specifically, we provide examples of ice-dependent organisms and associated species from the Arctic and Antarctic to illustrate the impacts of the temporal and spatial changes in ice dynamics.</t>
  </si>
  <si>
    <t>[Moline, Mark A.] Calif Polytech State Univ San Luis Obispo, Dept Biol Sci, San Luis Obispo, CA 93407 USA; [Moline, Mark A.] Calif Polytech State Univ San Luis Obispo, Ctr Coastal Marine Sci, San Luis Obispo, CA 93407 USA; [Karnovsky, Nina J.; Brown, Zachary] Pomona Coll, Dept Biol, Claremont, CA 91711 USA; [Divoky, George J.] Univ Alaska, Inst Arctic Biol, Fairbanks, AK 99701 USA; [Frazer, Thomas K.; Jacoby, Charles A.] Univ Florida, Inst Food &amp; Agr Sci, Dept Fisheries &amp; Aquat Sci, Gainesville, FL 32611 USA; [Torrese, Joseph J.] Univ S Florida, Dept Marine Sci, St Petersburg, FL 33701 USA; [Fraser, William R.] Polar Oceans Res Grp, Sheridan, MT USA</t>
  </si>
  <si>
    <t>California State University System; California Polytechnic State University San Luis Obispo; California State University System; California Polytechnic State University San Luis Obispo; Claremont Colleges; Pomona College; University of Alaska System; University of Alaska Fairbanks; State University System of Florida; University of Florida; State University System of Florida; University of South Florida</t>
  </si>
  <si>
    <t>Moline, MA (corresponding author), Calif Polytech State Univ San Luis Obispo, Dept Biol Sci, San Luis Obispo, CA 93407 USA.</t>
  </si>
  <si>
    <t>moline@marine.calpoly.edu</t>
  </si>
  <si>
    <t>Divoky, George/J-3319-2019; Jacoby, Charles/D-5608-2013</t>
  </si>
  <si>
    <t>Jacoby, Charles/0000-0002-5948-3241; Divoky, George/0000-0001-9902-8203</t>
  </si>
  <si>
    <t>111 RIVER STREET, HOBOKEN, NJ, UNITED STATES</t>
  </si>
  <si>
    <t>978-1-57331-725-2</t>
  </si>
  <si>
    <t>10.1196/annals.1439.010</t>
  </si>
  <si>
    <t>BHY78</t>
  </si>
  <si>
    <t>WOS:000257506400011</t>
  </si>
  <si>
    <t>McGhie, HA</t>
  </si>
  <si>
    <t>McGhie, Henry A.</t>
  </si>
  <si>
    <t>Catalogue of type specimens of molluscs in the collection of The Manchester Museum, The University of Manchester, UK</t>
  </si>
  <si>
    <t>ZOOKEYS</t>
  </si>
  <si>
    <t>Museums; type specimens; molluscs</t>
  </si>
  <si>
    <t>GASTROPODA; FAUNA; OMAN</t>
  </si>
  <si>
    <t>This paper presents the first published listing of the holdings of type specimens of mollusc in The Manchester Museum (University of Manchester, UK), the fourth largest mollusc collection in Britain. Type material relating to 480 taxa, including holotypes, paratypes and syntypes, are included in the present catalogue, mainly coming from the collections of A Abercrombie (India), RD Darbishire, Prof. AC Haddon (Torres Straits), Rev. J Hadfield (Lifu, Loyalty Islands), LJ Shackleford (especially Marginella), GC Spence (especially African land snails and Urocoptis and many specimens from M Connolly and HB Preston), FW Townsend (Persian Gulf), syntype material from the Scottish National Antarctic Expedition (1902-1904) and that received from the Smithsonian Institution in 1973 in exchange. There is undoubtedly more type material within the collection which is not identified as such as yet.</t>
  </si>
  <si>
    <t>Univ Manchester, Manchester Museum, Manchester, Lancs, England</t>
  </si>
  <si>
    <t>University of Manchester</t>
  </si>
  <si>
    <t>McGhie, HA (corresponding author), Univ Manchester, Manchester Museum, Oxford Rd, Manchester, Lancs, England.</t>
  </si>
  <si>
    <t>henry.mcghie@manchester.ac.uk</t>
  </si>
  <si>
    <t>PENSOFT PUBLISHERS</t>
  </si>
  <si>
    <t>GEO MILEV STR 13A, SOFIA, 1111, BULGARIA</t>
  </si>
  <si>
    <t>1313-2989</t>
  </si>
  <si>
    <t>ZooKeys</t>
  </si>
  <si>
    <t>10.3897/zookeys.4.32</t>
  </si>
  <si>
    <t>443XS</t>
  </si>
  <si>
    <t>WOS:000265944700001</t>
  </si>
  <si>
    <t>Artabe, AE; Brea, M</t>
  </si>
  <si>
    <t>Artabe, Analia E.; Brea, Mariana</t>
  </si>
  <si>
    <t>Reply to Axsmith et al. (2007) paper published in Ameghiniana 44: 223-230:: The wew approach to corystospermales' and the Antarctic fossil record:: A critique</t>
  </si>
  <si>
    <t>AMEGHINIANA</t>
  </si>
  <si>
    <t>Corystospermales; gondwana; triassic; Dicroidium reconstruction</t>
  </si>
  <si>
    <t>SEED-PLANT PHYLOGENY; CENTRAL TRANSANTARCTIC MOUNTAINS; PERMINERALIZED STEMS; DICROIDIUM; ANGIOSPERMS; ARGENTINA; ORIGIN; FERNS; PTERIDOSPERMS; GYMNOSPERMS</t>
  </si>
  <si>
    <t>This contribution replies to the critique of Axsmith, Taylor and Taylor published in the previous number of Ameghiniana. In first place, it is insisted on not admitting 'as unequivocal evidence' the supposed attachment of Dicroidium odontopteroides leaf to the axis with short shoots reported by Axsmith et al. (2000) at Alfie locality, Antarctica. Furthermore, the present analysis of cupulate organs, described at same locality by Axsmith et al. (2000), suggests that Umkomasia uniramia belongs to another morphotaxon with peltasperm affinities. It is remarked that in Artabe and Brea's contribution published in Alcheringa all the characters present in Argentinean corystosperm stems were analyzed and not one record from Antarctica was ignored nor the evidence that the material provides to the understanding of the corystosperms. In addition, above mentioned Axsmith et al. 's paper, has opened the discussion regarding to the Corystospermales concept, the reconstructions used in phylogenetic approaches and the vegetative characters selected in cladistic analysis. The study of Argentinean corystosperm stems allows visualizing the biased use -in cladistics- of discriminative vegetative characters in Medullosales, Cycadales and Corystospermales. As it happens with Medullosales and Cycadales, Corystospermales should include two end members corresponding to the reconstructions proposed for Antarctica and Argentina.</t>
  </si>
  <si>
    <t>[Artabe, Analia E.] Natl Univ La Plata, Fac Ciencias Nat &amp; Museo, Div Paleobot, RA-1900 La Plata, Argentina; [Brea, Mariana] Consejo Nacl Invest Cient &amp; Tecn, Diamante CICYTTP Diamante, Ctr Invest Cient, Lab Palaeobot, RA-3105 Diamante, Entre Rios, Argentina</t>
  </si>
  <si>
    <t>National University of La Plata; Museo La Plata; Consejo Nacional de Investigaciones Cientificas y Tecnicas (CONICET)</t>
  </si>
  <si>
    <t>Artabe, AE (corresponding author), Natl Univ La Plata, Fac Ciencias Nat &amp; Museo, Div Paleobot, Paseo del Bosque S-N, RA-1900 La Plata, Argentina.</t>
  </si>
  <si>
    <t>aartabe@museo.fcnym.unlp.edu.ar</t>
  </si>
  <si>
    <t>Brea, Mariana/0000-0002-8109-5595</t>
  </si>
  <si>
    <t>ASOCIACION PALEONTOLOGICA ARGENTINA</t>
  </si>
  <si>
    <t>MAIPU 645, 1ER PISO, 1006 BUENOS AIRES, ARGENTINA</t>
  </si>
  <si>
    <t>0002-7014</t>
  </si>
  <si>
    <t>Ameghiniana</t>
  </si>
  <si>
    <t>DEC 30</t>
  </si>
  <si>
    <t>288KW</t>
  </si>
  <si>
    <t>WOS:000254986300008</t>
  </si>
  <si>
    <t>Sasgen, I; Martinec, Z; Fleming, K</t>
  </si>
  <si>
    <t>Sasgen, Ingo; Martinec, Zdenek; Fleming, Kevin</t>
  </si>
  <si>
    <t>Regional ice-mass changes and glacial-isostatic adjustment in Antarctica from GRACE</t>
  </si>
  <si>
    <t>Antarctica; GRACE; mass balance; glacial-isostatic adjustment</t>
  </si>
  <si>
    <t>GREENLAND; MAXIMUM; BALANCE; SHEETS</t>
  </si>
  <si>
    <t>We infer regional mass changes in Antarctica using ca. 4 years of Gravity Recovery and Climate Experiment (GRACE) level 2 data. We decompose the time series of the Stokes coefficients into their linear as well as annual and semi-annual components by a least-squares adjustment and apply a statistical reliability test to the Stokes potential-coefficients' linear temporal trends. Mass changes in three regions of Antarctica that display prominent geoid-height change are determined by adjusting predictions of glacier melting at the tip of the Antarctic Peninsula and in the Amundsen Sea Sector, and of the glacial-isostatic adjustment (GIA) over the Ronne Ice Shelf. We use the GFZ RL04, CNES RLO1C, JPL RL04 and CSR RL04 potential-coefficient releases, and show that, although all data sets consistently reflect the prominent mass changes, differences in the mass-change estimates are considerably larger than the uncertainties estimated by the propagation of the GRACE errors. We then use the bootstrapping method based on the four releases and six time intervals, each with 3.5 years of data, to quantify the variability of the mean mass-change estimates. We find 95% of our estimates to lie within 0.08 and 0.09 mm/a equivalent sea-level (ESL) change for the Antarctic Peninsula and within 0.18 and 0.20 mm/a ESL for the Amundsen Sea Sector. Forward modelling of the GIA over the Ronne Ice Shelf region suggests that the Antarctic continent was covered by 8.4 to 9.4 m ESL of additional ice during the Last-Glacial Maximum (ca. 22 to 15 ka BP). With regards to the mantle-viscosity values and the glacial history used, this value is considered as a minimum estimate. The mass-change estimates derived from all GRACE releases and time intervals lie within ca. 20% (Amundsen Sea Sector), 30% (Antarctic Peninsula) and 50% (Ronne Ice Shelf region) of the bootstrap-estimated mean, demonstrating the reliability of results obtained using GRACE observations. (c) 2007 Elsevier B.V. All,rights reserved.</t>
  </si>
  <si>
    <t>[Sasgen, Ingo; Martinec, Zdenek; Fleming, Kevin] Geoforschungszentrum Potsdam, Dept Geodesy &amp; Romote Sensing, D-14473 Potsdam, Germany; [Martinec, Zdenek] Charles Univ Prague, Fac Math &amp; Phys, Dept Geophys, Prague, Czech Republic</t>
  </si>
  <si>
    <t>Helmholtz Association; Helmholtz-Center Potsdam GFZ German Research Center for Geosciences; Charles University Prague</t>
  </si>
  <si>
    <t>Sasgen, I (corresponding author), Geoforschungszentrum Potsdam, Dept Geodesy &amp; Romote Sensing, Telegrafenberg A17, D-14473 Potsdam, Germany.</t>
  </si>
  <si>
    <t>sasgen@gfz-potsdam.de</t>
  </si>
  <si>
    <t>Martinec, Zdenek/M-9860-2017; Fleming, Kevin/AAY-2253-2020; Martinec, Zdenek/AAA-6095-2022</t>
  </si>
  <si>
    <t>Martinec, Zdenek/0000-0002-7036-2571; Fleming, Kevin/0000-0001-8449-3081;</t>
  </si>
  <si>
    <t>10.1016/j.epsl.2007.09.029</t>
  </si>
  <si>
    <t>245ES</t>
  </si>
  <si>
    <t>WOS:000251918500004</t>
  </si>
  <si>
    <t>Giordano, D; Vergara, A; Lee, HC; Peisach, J; Balestrieri, M; Mazzarella, L; Parisi, E; di Priseo, G; Verde, C</t>
  </si>
  <si>
    <t>Giordano, Daniela; Vergara, Alessandro; Lee, H. Caroline; Peisach, Jack; Balestrieri, Marco; Mazzarella, Lelio; Parisi, Elio; di Priseo, Guido; Verde, Cinzia</t>
  </si>
  <si>
    <t>Hemoglobin structure/function and globin-gene evolution in the Arctic fish Liparis tunicatus</t>
  </si>
  <si>
    <t>GENE</t>
  </si>
  <si>
    <t>Antarctic; Arctic; evolution; hemoglobin; structure; unligated ferric state</t>
  </si>
  <si>
    <t>OXYGEN-BINDING-PROPERTIES; EXTREME ENVIRONMENTS; RAMAN-SPECTROSCOPY; ANTARCTIC FISHES; HEME POCKET; PHYLOGENIES; SEQUENCE; TELEOST; ADAPTATION; DIVERSITY</t>
  </si>
  <si>
    <t>The importance of the Arctic, in contributing to the knowledge of the overall ensemble of adaptive processes influencing the evolution of marine organisms, calls for investigations on molecular adaptations in Arctic fish. Unlike the vast majority of Antarctic Notothenioidei, several Arctic species display high hemoglobin multiplicity. The blood of four species, the spotted wolffish of the family Anarhichadidae and three Gadidae, contains three functionally distinct major components. Similar to many Antarctic notothenioids, Arctic Liparis tunicatus (suborder Cottoidei, family Liparidae) has one major hemoglobin (Hb 1) accompanied by a minor component (Hb 2). This paper reports the structural and functional characterisation of Hb 1 of L. tunicatus. This hemoglobin shows low oxygen affinity, and pronounced Bohr and Root effects. The amino-acid sequence of the beta chain displays an unusual substitution in NA2 (beta 2) at the phosphate-binding site, and the replacement of Val E11 (beta 67) with Ile. Similar to some Antarctic fish Hbs, electron paramagnetic resonance spectra reveal the fort-nation of a ferric penta-coordinated species even at physiological pH. The amino-acid sequences have also been used to gain insight into the evolutionary history of globins of polar fish. L. tunicatus globins appear close to the notothenioid clades as predicted by teleostean phylogenies. Close phylogenetic relationships between Cottoidei and Notothenioidei, together with their life style, seem to be the main factor driving the globin-sequence evolution. (C) 2007 Elsevier B.V. All rights reserved.</t>
  </si>
  <si>
    <t>[Giordano, Daniela; Balestrieri, Marco; di Priseo, Guido; Verde, Cinzia] CNR, Inst Protein Biochem, I-80131 Naples, Italy; [Vergara, Alessandro; Mazzarella, Lelio] Univ Naples Federico 2, Dipartimento Chim, I-80126 Naples, Italy; [Lee, H. Caroline; Peisach, Jack] Yeshiva Univ, Albert Einstein Coll Med, Dept Physiol &amp; Biophys, Bronx, NY 10461 USA</t>
  </si>
  <si>
    <t>Consiglio Nazionale delle Ricerche (CNR); Istituto di Biochimica delle Proteine (IBP-CNR); University of Naples Federico II; Yeshiva University; Albert Einstein College of Medicine</t>
  </si>
  <si>
    <t>Verde, C (corresponding author), CNR, Inst Protein Biochem, Via Pietro Castellino 111, I-80131 Naples, Italy.</t>
  </si>
  <si>
    <t>c.verde@ibp.cnr.it</t>
  </si>
  <si>
    <t>Vergara, Alessandro/C-4435-2013; Balestrieri, Marco/G-1847-2011; Giordano, Daniela/AFK-7772-2022</t>
  </si>
  <si>
    <t>Balestrieri, Marco/0000-0003-4343-2148; Giordano, Daniela/0000-0002-8891-6245; Vergara, Alessandro/0000-0003-4135-0245; VERDE, Cinzia/0000-0001-6185-282X</t>
  </si>
  <si>
    <t>NHLBI NIH HHS [HL071064-03004] Funding Source: Medline; NIGMS NIH HHS [GM040168] Funding Source: Medline</t>
  </si>
  <si>
    <t>NHLBI NIH HHS(United States Department of Health &amp; Human ServicesNational Institutes of Health (NIH) - USANIH National Heart Lung &amp; Blood Institute (NHLBI)); NIGMS NIH HHS(United States Department of Health &amp; Human ServicesNational Institutes of Health (NIH) - USANIH National Institute of General Medical Sciences (NIGMS))</t>
  </si>
  <si>
    <t>0378-1119</t>
  </si>
  <si>
    <t>Gene</t>
  </si>
  <si>
    <t>10.1016/j.gene.2007.06.002</t>
  </si>
  <si>
    <t>Genetics &amp; Heredity</t>
  </si>
  <si>
    <t>253EC</t>
  </si>
  <si>
    <t>WOS:000252500500009</t>
  </si>
  <si>
    <t>Marino, K; Boschetto, L; de Pascale, D; Cocca, E</t>
  </si>
  <si>
    <t>Marino, Katia; Boschetto, Loredana; de Pascale, Donatella; Cocca, Ennio</t>
  </si>
  <si>
    <t>Organisation of the Hb 1 genes of the Antarctic skate Bathyraja eatonii:: New insights into the evolution of globin genes</t>
  </si>
  <si>
    <t>globin gene; chromosomal organisation; cartilaginous fish; beta-globin promoter; Antarctica</t>
  </si>
  <si>
    <t>CARTILAGINOUS FISH; ALPHA-GLOBIN; VERTEBRATE EVOLUTION; NUCLEOTIDE-SEQUENCE; MOLECULAR GENETICS; PROMOTER ELEMENTS; HEMOGLOBINS; TRANSCRIPTION; SENSITIVITY; EXPRESSION</t>
  </si>
  <si>
    <t>An extensive investigation of the organisation of globin genes has greatly contributed to the understanding of universal mechanisms of gene evolution and expression. Cartilaginous fish are the first organisms that have evolved the tetrameric form of hemoglobin (Hb). So far, there has been absolute lack of data about globin genes in chondrichthyans. Bathyraja is the dominant rajid south of 60 degrees S. In the framework of the investigations on globin genes of Antarctic red-blooded and Hb-less fish we obtained the cloning of the alpha- and beta-globin cDNAs of the main Hb (Hb 1) of the skate Bathyraja eatonii. Then, a genomic fragment of 6.2 kb was isolated where the Hb 1 alpha and eta genes are linked in a tail-to-head (3' to 5') orientation. The beta-globin gene promoter region and the chromosomal organisation of the Hb 1 genes of B. eatonii have been compared to their homologues in other vertebrates. The finding of a tail-to-head linkage of the Hb 1 alpha- and beta-globin genes in B. eatonii is the first characterisation of the organisation of globin genes in chondrichthyes; such finding offers a novel contribution to the understanding of the evolution of this class of genes. Moreover, the characterisation of chondrichthyan genes is very important for gaining insight into the ancestral state of vertebrate genomes. (C) 2007 Elsevier B.V. All rights reserved.</t>
  </si>
  <si>
    <t>[Marino, Katia; Boschetto, Loredana; de Pascale, Donatella; Cocca, Ennio] CNR, Inst Protein Biochem, I-80131 Naples, Italy</t>
  </si>
  <si>
    <t>Cocca, E (corresponding author), CNR, Inst Protein Biochem, Via P Castellino 111, I-80131 Naples, Italy.</t>
  </si>
  <si>
    <t>e.cocca@ibp.cnr.it</t>
  </si>
  <si>
    <t>Cocca, Ennio/AAY-3817-2020</t>
  </si>
  <si>
    <t>Cocca, Ennio/0000-0003-2432-9663</t>
  </si>
  <si>
    <t>1879-0038</t>
  </si>
  <si>
    <t>10.1016/j.gene.2007.10.002</t>
  </si>
  <si>
    <t>WOS:000252500500024</t>
  </si>
  <si>
    <t>Sarafanov, A; Sokov, A; Demidov, A</t>
  </si>
  <si>
    <t>Sarafanov, Artem; Sokov, Alexey; Demidov, Alexander</t>
  </si>
  <si>
    <t>Water mass characteristics in the equatorial North Atlantic:: A section nominally along 6.5°N, July 2000</t>
  </si>
  <si>
    <t>WESTERN BOUNDARY CURRENT; UPPER OCEAN CIRCULATION; ANTARCTIC BOTTOM WATER; TROPICAL ATLANTIC; SOUTH-ATLANTIC; BRAZIL CURRENT; UPPER LAYER; FLOW; VARIABILITY; PATHWAYS</t>
  </si>
  <si>
    <t>In July 2000, a transatlantic conductivity-temperature-depth/hydrographic section was occupied on board the Russian R/V Akademik Ioffe in the northern equatorial region from 9 degrees 26'N, 17 degrees 22'W to 3 degrees 48'N, 47 degrees 16'W near the World Ocean Circulation Experiment (WOCE) A06 line. The water mass characteristics and the main features of cross-sectional circulation are reported on the basis of the potential temperature, salinity, potential density, and silicate distributions along the section. A scheme of the upper ocean circulation dominated by the near-surface eastward North Equatorial Countercurrent, most intense at 5.5 degrees-6 degrees N, and the subsurface cyclonic flow of the North Equatorial Undercurrent, is presented. The boundary flows along the Brazilian slope are revealed at the Upper and Lower North Atlantic Deep Water ( NADW) levels, while the main pathways of intermediate waters and the Middle NADW are offshore. The northward recirculation of NADW is observed in both the western and eastern basins; in particular, a reversal of the Deep Western Boundary Current at the Middle NADW level is detected. The warming of the intermediate, deep, and near-bottom waters in the interior eastern basin is revealed from comparison of the section temperature data with those obtained at the WOCE A06 line in 1993. The substantial 1993-2000 temperature increase (+0.02 degrees C-0.1 degrees C) at the intermediate and upper deep levels suggests that the previously reported long-term warming above 2500-3000 m in the equatorial and subtropical North Atlantic between the late 1950s and early 1990s continued in the interior eastern equatorial basin during the last decade of the 20th century.</t>
  </si>
  <si>
    <t>[Sarafanov, Artem; Sokov, Alexey] PP Shirshov Oceanol Inst, Moscow 117997, Russia; [Demidov, Alexander] Moscow MV Lomonosov State Univ, Dept Oceanol, Moscow 119992, Russia</t>
  </si>
  <si>
    <t>Russian Academy of Sciences; Shirshov Institute of Oceanology; Lomonosov Moscow State University</t>
  </si>
  <si>
    <t>Sarafanov, A (corresponding author), PP Shirshov Oceanol Inst, 36 Nakhimovskiy Prospect, Moscow 117997, Russia.</t>
  </si>
  <si>
    <t>sarafanov@mail.ru; sokov@ocean.ru</t>
  </si>
  <si>
    <t>Sarafanov, Artem/R-9199-2018</t>
  </si>
  <si>
    <t>DEC 29</t>
  </si>
  <si>
    <t>C12</t>
  </si>
  <si>
    <t>C12023</t>
  </si>
  <si>
    <t>10.1029/2007JC004222</t>
  </si>
  <si>
    <t>246OA</t>
  </si>
  <si>
    <t>WOS:000252015100003</t>
  </si>
  <si>
    <t>Heap, B</t>
  </si>
  <si>
    <t>Heap, Brian</t>
  </si>
  <si>
    <t>Antarctic ecology: from genes to ecosystems. Part 2: evolution, diversity and function</t>
  </si>
  <si>
    <t>PHILOSOPHICAL TRANSACTIONS OF THE ROYAL SOCIETY B-BIOLOGICAL SCIENCES</t>
  </si>
  <si>
    <t>CLIMATE; LIFE</t>
  </si>
  <si>
    <t>St Edmunds Coll, Cambridge CB3 OBN, England</t>
  </si>
  <si>
    <t>Heap, B (corresponding author), St Edmunds Coll, Cambridge CB3 OBN, England.</t>
  </si>
  <si>
    <t>rbh22@cam.ac.uk</t>
  </si>
  <si>
    <t>Natural Environment Research Council [NE/C506321/1] Funding Source: researchfish</t>
  </si>
  <si>
    <t>ROYAL SOC</t>
  </si>
  <si>
    <t>6-9 CARLTON HOUSE TERRACE, LONDON SW1Y 5AG, ENGLAND</t>
  </si>
  <si>
    <t>0962-8436</t>
  </si>
  <si>
    <t>1471-2970</t>
  </si>
  <si>
    <t>PHILOS T R SOC B</t>
  </si>
  <si>
    <t>Philos. Trans. R. Soc. B-Biol. Sci.</t>
  </si>
  <si>
    <t>10.1098/rstb.2007.2228</t>
  </si>
  <si>
    <t>227GB</t>
  </si>
  <si>
    <t>WOS:000250644100001</t>
  </si>
  <si>
    <t>Rogers, AD; Murphy, EJ; Johnston, NM; Clarke, A</t>
  </si>
  <si>
    <t>Rogers, Alex D.; Murphy, Eugene J.; Johnston, Nadine M.; Clarke, Andrew</t>
  </si>
  <si>
    <t>Introduction. Antarctic ecology: from genes to ecosystems. Part 2. Evolution, diversity and functional ecology</t>
  </si>
  <si>
    <t>glaciation; genomics; adaptation; speciation; climate change</t>
  </si>
  <si>
    <t>SOUTHERN-OCEAN; CLIMATE-CHANGE; BIODIVERSITY</t>
  </si>
  <si>
    <t>The Antarctic biota has evolved over the last 100 million years in increasingly isolated and cold conditions. As a result, Antarctic species, from micro-organisms to vertebrates, have adapted to life at extremely low temperatures, including changes in the genome, physiology and ecological traits such as life history. Coupled with cycles of glaciation that have promoted speciation in the Antarctic, this has led to a unique biota in terms of biogeography, patterns of species distribution and endemism. Specialization in the Antarctic biota has led to trade-offs in many ecologically important functions and Antarctic species may have a limited capacity to adapt to present climate change. These include the direct effects of changes in environmental parameters and indirect effects of increased competition and predation resulting from altered life histories of Antarctic species and the impacts of invasive species. Ultimately, climate change may alter the responses of Antarctic ecosystems to harvesting from humans. The unique adaptations of Antarctic species mean that they provide unique models of molecular evolution in natural populations. The simplicity of Antarctic communities, especially from terrestrial systems, makes them ideal to investigate the ecological implications of climate change, which are difficult to identify in more complex systems.</t>
  </si>
  <si>
    <t>Zool Soc London, Inst Zool, London NW1 4RY, England; British Antarctic Survey, NERC, Cambridge CB3 0ET, England</t>
  </si>
  <si>
    <t>Zoological Society of London; UK Research &amp; Innovation (UKRI); Natural Environment Research Council (NERC); NERC British Antarctic Survey</t>
  </si>
  <si>
    <t>Rogers, AD (corresponding author), Zool Soc London, Inst Zool, Regents Pk, London NW1 4RY, England.</t>
  </si>
  <si>
    <t>alex.rogers@ioz.ac.uk</t>
  </si>
  <si>
    <t>murphy, eugene/GZL-1620-2022</t>
  </si>
  <si>
    <t>Johnston, Nadine M/0000-0003-2211-1492; Rogers, Alex David/0000-0002-4864-2980</t>
  </si>
  <si>
    <t>Natural Environment Research Council [bas010017, NE/C506321/1] Funding Source: researchfish; NERC [bas010017] Funding Source: UKRI</t>
  </si>
  <si>
    <t>10.1098/rstb.2007.2135</t>
  </si>
  <si>
    <t>WOS:000250644100002</t>
  </si>
  <si>
    <t>Rogers, AD</t>
  </si>
  <si>
    <t>Rogers, Alex David</t>
  </si>
  <si>
    <t>Evolution and biodiversity of Antarctic organisms: a molecular perspective</t>
  </si>
  <si>
    <t>Antarctic; phylogenetics; evolution; population genetics; glacial cycles</t>
  </si>
  <si>
    <t>EUPHAUSIA-SUPERBA DANA; MOSS CERATODON-PURPUREUS; SOUTHERN VICTORIA LAND; SPRINGTAIL GOMPHIOCEPHALUS-HODGSONI; NACELLA-CONCINNA STREBEL; LONG-DISTANCE DISPERSAL; POPULATION-STRUCTURE; GENETIC-VARIATION; MITOCHONDRIAL-DNA; PATAGONIAN TOOTHFISH</t>
  </si>
  <si>
    <t>The Antarctic biota is highly endemic, and the diversity and abundance of taxonomic groups differ from elsewhere in the world. Such characteristics have resulted from evolution in isolation in an increasingly extreme environment over the last 100 Myr. Studies on Antarctic species represent some of the best examples of natural selection at the molecular, structural and physiological levels. Analyses of molecular genetics data are consistent with the diversity and distribution of marine and terrestrial taxa having been strongly influenced by geological and climatic cooling events over the last 70 Myr. Such events have resulted in vicariance driven by continental drift and thermal isolation of the Antarctic, and in pulses of species range contraction into refugia and subsequent expansion and secondary contact of genetically distinct populations or sister species during cycles of glaciation. Limited habitat availability has played a major role in structuring populations of species both in the past and in the present day. For these reasons, despite the apparent simplicity or homogeneity of Antarctic terrestrial and marine environments, populations of species are often geographically structured into genetically distinct lineages. In some cases, genetic studies have revealed that species defined by morphological characters are complexes of cryptic or sibling species. Climate change will cause changes in the distribution of many Antarctic and sub-Antarctic species through affecting population-level processes such as life history and dispersal.</t>
  </si>
  <si>
    <t>Rogers, AD (corresponding author), British Antarctic Survey, High Cross,Madingley Rd, Cambridge CB3 0ET, England.</t>
  </si>
  <si>
    <t>Rogers, Alex David/0000-0002-4864-2980</t>
  </si>
  <si>
    <t>NERC [bas010015] Funding Source: UKRI; Natural Environment Research Council [bas010015, NE/C506321/1] Funding Source: researchfish</t>
  </si>
  <si>
    <t>10.1098/rstb.2006.1948</t>
  </si>
  <si>
    <t>WOS:000250644100003</t>
  </si>
  <si>
    <t>Cheng, CHC; Detrich, HW</t>
  </si>
  <si>
    <t>Cheng, C.-H. Christina; Detrich, H. William, III</t>
  </si>
  <si>
    <t>Molecular ecophysiology of Antarctic notothenioid fishes</t>
  </si>
  <si>
    <t>Antarctic water temperatures; stenothermal; teleost freeze avoidance paradigm shift; evolutionary genomics; haemoprotein loss; notothenioid fishes</t>
  </si>
  <si>
    <t>REPRESENTATIONAL DIFFERENCE ANALYSIS; NITRIC-OXIDE; ANTIFREEZE PROTEIN; GLOBIN GENES; ICEFISHES NOTOTHENIOIDEI; MITOCHONDRIAL BIOGENESIS; ISOLATED HEPATOCYTES; INTESTINAL FLUID; WINTER FLOUNDER; SKELETAL-MUSCLE</t>
  </si>
  <si>
    <t>The notothenioid fishes of the Southern Ocean surrounding Antarctica are remarkable examples of organismal adaptation to extreme cold. Their evolution since the mid-Miocene in geographical isolation and a chronically cold marine environment has resulted in extreme stenothermality of the extant species. Given the unique thermal history of the notothenioids, one may ask what traits have been gained, and conversely, what characters have been lost through change in the information content of their genomes. Two dramatic changes that epitomize such evolutionary transformations are the gain of novel antifreeze proteins, which are obligatory for survival in icy seawater, by most notothenioids and the paradoxical loss of respiratory haemoproteins and red blood cells, normally deemed indispensable for vertebrate life, by the species of a highly derived notothenioid family, the icefishes. Here, we review recent advances in our understanding of these traits and their evolution and suggest future avenues of investigation. The formerly coherent paradigm of notothenioid freeze avoidance, developed from three decades of study of antifreeze glycoprotein (AFGP) based cold adaptation, now faces challenges stemming from the recent discovery of antifreeze-deficient, yet freeze-resistant, early notothenioid life stages and from definitive evidence that the liver is not the physiological source of AFGPs in notothenioid blood. The resolution of these intriguing observations is likely to reveal new physiological traits that are unique to the notothenioids. Similarly, the model of AFGP gene evolution from a notothenioid pancreatic trypsinogen-like gene precursor is being expanded and refined based on genome-level analyses of the linked AFGP loci and their ancestral precursors. Finally, the application of comparative genomics to study evolutionary change in the AFGP genotypes of cool-temperate notothenioids from sub-Antarctic habitats, where these genes are not necessary, will contribute to the mechanistic understanding of the dynamics of AFGP gene gain and loss. In humans and most vertebrates, mutations in the alpha- or beta-globin genes or defects in globin chain synthesis are causes of severe genetic disease. Thus, the 16 species of haemoglobinless, erythrocytenull icefishes are surprising anomalies-in fact, they could only have evolved and thrived due to relaxed selection pressure for oxygen-binding proteins in the cold, oxygen-rich waters of the Southern Ocean. Fifteen of the sixteen icefish species have lost most of the adult alpha beta-globin locus and retain only a small 3' fragment of the alpha-globin gene. The only exception to this pattern occurs in Neopagetopsis ionah, which possesses a disrupted alpha beta-globin gene complex that probably represents a non-functional intermediate on the evolutionary pathway to near total globin gene extinction. By contrast, six of the icefish species fail to express myoglobin. The absence of myoglobin expression has occurred by several independent mutations and distinct mechanisms. Haemoprotein loss is correlated with dramatic increases in cellular mitochondrial density, heart size, blood volume and capillary bed volume. Evolution of these compensatory traits was probably facilitated by the homeostatic activity of nitric oxide, a key modulator of angiogenesis and mitochondrial biogenesis. These natural knockouts of the red blood cell lineage are an excellent genomic resource for erythroid gene discovery by comparative genomics, as illustrated for the newly described gene, bloodthirsty.</t>
  </si>
  <si>
    <t>Univ Illinois, Dept Anim Biol, Urbana, IL 61801 USA; Northeastern Univ, Dept Biol, Boston, MA 02115 USA</t>
  </si>
  <si>
    <t>University of Illinois System; University of Illinois Urbana-Champaign; Northeastern University</t>
  </si>
  <si>
    <t>Cheng, CHC (corresponding author), Univ Illinois, Dept Anim Biol, 515 Morrill Hall, Urbana, IL 61801 USA.</t>
  </si>
  <si>
    <t>c-cheng@uiuc.edu</t>
  </si>
  <si>
    <t>10.1098/rstb.2006.1946</t>
  </si>
  <si>
    <t>WOS:000250644100004</t>
  </si>
  <si>
    <t>Pörtner, HO; Peck, L; Somero, G</t>
  </si>
  <si>
    <t>Poertner, Hans O.; Peck, Lloyd; Somero, George</t>
  </si>
  <si>
    <t>Thermal limits and adaptation in marine Antarctic ectotherms:: an integrative view</t>
  </si>
  <si>
    <t>Antarctic; thermal adaptation; global warming; life history evolution; notothenioid fishes; marine invertebrates</t>
  </si>
  <si>
    <t>TEMPERATURE-DEPENDENT BIOGEOGRAPHY; METABOLIC COLD ADAPTATION; BIVALVE YOLDIA-EIGHTSI; PROTEIN-SYNTHESIS CAPACITIES; LUGWORM ARENICOLA-MARINA; LIMPET NACELLA-CONCINNA; LACTATE DEHYDROGENASE-A; CYTOCHROME-C-OXIDASE; COD GADUS-MORHUA; NORTH-SEA</t>
  </si>
  <si>
    <t>A cause and effect understanding of thermal limitation and adaptation at various levels of biological organization is crucial in the elaboration of how the Antarctic climate has shaped the functional properties of extant Antarctic fauna. At the same time, this understanding requires an integrative view of how the various levels of biological organization may be intertwined. At all levels analysed, the functional specialization to permanently low temperatures implies reduced tolerance of high temperatures, as a trade-off. Maintenance of membrane fluidity, enzyme kinetic properties (K-m and k(cat)) and protein structural flexibility in the cold supports metabolic flux and regulation as well as cellular functioning overall. Gene expression patterns and, even more so, loss of genetic information, especially for myoglobin (Mb) and haemoglobin (Hb) in notothenioid fishes, reflect the specialization of Antarctic organisms to a narrow range of low temperatures. The loss of Mb and Hb in icefish, together with enhanced lipid membrane densities (e. g. higher concentrations of mitochondria), becomes explicable by the exploitation of high oxygen solubility at low metabolic rates in the cold, where an enhanced fraction of oxygen supply occurs through diffusive oxygen flux. Conversely, limited oxygen supply to tissues upon warming is an early cause of functional limitation. Low standard metabolic rates may be linked to extreme stenothermy. The evolutionary forces causing low metabolic rates as a uniform character of life in Antarctic ectothermal animals may be linked to the requirement for high energetic efficiency as required to support higher organismic functioning in the cold. This requirement may result from partial compensation for the thermal limitation of growth, while other functions like hatching, development, reproduction and ageing are largely delayed. As a perspective, the integrative approach suggests that the patterns of oxygen- and capacity-limited thermal tolerance are linked, on one hand, with the capacity and design of molecules and membranes, and, on the other hand, with life-history consequences and lifestyles typically seen in the permanent cold. Future research needs to address the detailed aspects of these interrelationships.</t>
  </si>
  <si>
    <t>Alfred Wegener Inst Polar &amp; Marine Res, D-27515 Bremerhaven, Germany; British Antarctic Survey, Cambridge CB3 0ET, England; Stanford Univ, Hopkins Marine Stn, Pacific Grove, CA 93950 USA</t>
  </si>
  <si>
    <t>Helmholtz Association; Alfred Wegener Institute, Helmholtz Centre for Polar &amp; Marine Research; UK Research &amp; Innovation (UKRI); Natural Environment Research Council (NERC); NERC British Antarctic Survey; Stanford University</t>
  </si>
  <si>
    <t>Pörtner, HO (corresponding author), Alfred Wegener Inst Polar &amp; Marine Res, D-27515 Bremerhaven, Germany.</t>
  </si>
  <si>
    <t>hpoertner@awi-bremerhaven.de</t>
  </si>
  <si>
    <t>Pörtner, Hans-O./K-9429-2016; Somero, George/AAC-3321-2019; Pörtner, Hans-O./ISU-9397-2023</t>
  </si>
  <si>
    <t>Pörtner, Hans-O./0000-0001-6535-6575; Somero, George/0000-0003-1431-6455</t>
  </si>
  <si>
    <t>10.1098/rstb.2006.1947</t>
  </si>
  <si>
    <t>WOS:000250644100005</t>
  </si>
  <si>
    <t>Murray, AE; Grzymski, JJ</t>
  </si>
  <si>
    <t>Murray, Alison E.; Grzymski, Joseph J.</t>
  </si>
  <si>
    <t>Diversity and genomics of Antarctic marine micro-organisms</t>
  </si>
  <si>
    <t>Antarctic bacterioplankton; marine bacteria; marine microbial genomics; bacterioplankton diversity; Southern Ocean</t>
  </si>
  <si>
    <t>SEA-ICE; PLANKTONIC ARCHAEA; MICROBIAL COMMUNITIES; RIBOSOMAL-RNA; PHYLOGENETIC COMPOSITION; BACTERIAL COMMUNITIES; VERTICAL-DISTRIBUTION; COASTAL WATERS; 16S RDNA; BACTERIOPLANKTON</t>
  </si>
  <si>
    <t>Marine bacterioplanktons are thought to play a vital role in Southern Ocean ecology and ecosystem function, as they do in other ocean systems. However, our understanding of phylogenetic diversity, genome-enabled capabilities and specific adaptations to this persistently cold environment is limited. Bacterioplankton community composition shifts significantly over the annual cycle as sea ice melts and phytoplankton bloom. Microbial diversity in sea ice is better known than that of the plankton, where culture collections do not appear to represent organisms detected with molecular surveys. Broad phylogenetic groupings of Antarctic bacterioplankton such as the marine group I Crenarchaeota, alpha-Proteobacteria (Roseobacter-related and SAR-11 clusters), gamma-Proteobacteria ( both cultivated and uncultivated groups) and Bacteriodetes-affiliated organisms in Southern Ocean waters are in common with other ocean systems. Antarctic SSU rRNA gene phylotypes are typically affiliated with other polar sequences. Some species such as Polaribacter irgensii and currently uncultivated gamma-Proteobacteria (Ant4D3 and Ant10A4) may flourish in Antarctic waters, though further studies are needed to address diversity on a larger scale. Insights from initial genomics studies on both cultivated organisms and genomes accessed through shotgun cloning of environmental samples suggest that there are many unique features of these organisms that facilitate survival in high-latitude, persistently cold environments.</t>
  </si>
  <si>
    <t>Desert Res Inst, Reno, NV 89512 USA</t>
  </si>
  <si>
    <t>Nevada System of Higher Education (NSHE); Desert Research Institute NSHE</t>
  </si>
  <si>
    <t>Murray, AE (corresponding author), Desert Res Inst, 2215 Raggio Pkwy, Reno, NV 89512 USA.</t>
  </si>
  <si>
    <t>alison.murray@dri.edu</t>
  </si>
  <si>
    <t>Grzymski, Joseph/0000-0003-2646-8958</t>
  </si>
  <si>
    <t>10.1098/rstb.2006.1944</t>
  </si>
  <si>
    <t>WOS:000250644100006</t>
  </si>
  <si>
    <t>Laybourn-Parry, J; Pearce, DA</t>
  </si>
  <si>
    <t>Laybourn-Parry, Johanna; Pearce, David A.</t>
  </si>
  <si>
    <t>The biodiversity and ecology of Antarctic lakes: models for evolution</t>
  </si>
  <si>
    <t>lakes; bacteria; flagellates; cyanobacteria; ciliates</t>
  </si>
  <si>
    <t>GRADIENT GEL-ELECTROPHORESIS; MCMURDO DRY VALLEY; FRESH-WATER LAKES; BACTERIOPLANKTON COMMUNITY STRUCTURE; IN-SITU HYBRIDIZATION; RIBOSOMAL-RNA GENE; SP-NOV.; MICROBIAL MATS; VESTFOLD HILLS; LOW-TEMPERATURE</t>
  </si>
  <si>
    <t>Antarctic lakes are characterised by simplified, truncated food webs. The lakes range from freshwater to hypersaline with a continuum of physical and chemical conditions that offer a natural laboratory in which to study evolution. Molecular studies on Antarctic lake communities are still in their infancy, but there is clear evidence from some taxonomic groups, for example the Cyanobacteria, that there is endemicity. Moreover, many of the bacteria have considerable potential as sources of novel biochemicals such as low temperature enzymes and anti-freeze proteins. Among the eukaryotic organisms survival strategies have evolved, among which dependence on mixotrophy in phytoflagellates and some ciliates is common. There is also some evidence of evolution of new species of flagellate in the marine derived saline lakes of the Vestfold Hills. Recent work on viruses in polar lakes demonstrates high abundance and high rates of infection, implying that they may play an important role in genetic exchange in these extreme environments.</t>
  </si>
  <si>
    <t>Univ Keele, Fac Nat Sci, Inst Environm Phys Sci &amp; Appl Math, Keele ST5 5BG, Staffs, England; British Antarctic Survey, Cambridge CB3 0ET, England</t>
  </si>
  <si>
    <t>Keele University; UK Research &amp; Innovation (UKRI); Natural Environment Research Council (NERC); NERC British Antarctic Survey</t>
  </si>
  <si>
    <t>Laybourn-Parry, J (corresponding author), Univ Keele, Fac Nat Sci, Inst Environm Phys Sci &amp; Appl Math, Keele ST5 5BG, Staffs, England.</t>
  </si>
  <si>
    <t>j.laybourn-parry@natsci.keele.ac.uk</t>
  </si>
  <si>
    <t>Pearce, David/0000-0001-5292-4596</t>
  </si>
  <si>
    <t>Natural Environment Research Council [bas010020] Funding Source: researchfish; NERC [bas010020] Funding Source: UKRI</t>
  </si>
  <si>
    <t>10.1098/rstb.2006.1945</t>
  </si>
  <si>
    <t>WOS:000250644100007</t>
  </si>
  <si>
    <t>Wall, DH</t>
  </si>
  <si>
    <t>Wall, Diana H.</t>
  </si>
  <si>
    <t>Global change tipping points: above- and below-ground biotic interactions in a low diversity ecosystem</t>
  </si>
  <si>
    <t>soil; biodiversity; Antarctica; dry valleys; climate change</t>
  </si>
  <si>
    <t>MCMURDO DRY VALLEYS; SOUTHERN VICTORIA-LAND; UV-B RADIATION; TAYLOR VALLEY; SOIL BIODIVERSITY; CLIMATE-CHANGE; GOMPHIOCEPHALUS-HODGSONI; BACTERIAL DIVERSITY; COMMUNITY STRUCTURE; SPECIES-DIVERSITY</t>
  </si>
  <si>
    <t>Low diversity ecosystems are expected to be more vulnerable to global changes although they have received less attention than high diversity ecosystems. Addressing the present state of the Antarctic Dry Valley region by focusing on the potential global changes that may alter the coupling of above-and below-ground species and ecosystem processes is a realistic and critical need that has value beyond the Antarctic community. Presented here are suggested implications of global change on the Dry Valley terrestrial systems and how these effects might be manifested in the future.</t>
  </si>
  <si>
    <t>Colorado State Univ, Dept Biol, Ft Collins, CO 80523 USA; Colorado State Univ, Nat Resource Ecol Lab, Ft Collins, CO 80523 USA</t>
  </si>
  <si>
    <t>Colorado State University; Colorado State University</t>
  </si>
  <si>
    <t>Wall, DH (corresponding author), Colorado State Univ, Dept Biol, Ft Collins, CO 80523 USA.</t>
  </si>
  <si>
    <t>diana@nrel.colostate.edu</t>
  </si>
  <si>
    <t>Wall, Diana H/F-5491-2011</t>
  </si>
  <si>
    <t>10.1098/rstb.2006.1950</t>
  </si>
  <si>
    <t>WOS:000250644100008</t>
  </si>
  <si>
    <t>Chown, SL; Convey, P</t>
  </si>
  <si>
    <t>Chown, Steven L.; Convey, Peter</t>
  </si>
  <si>
    <t>Spatial and temporal variability across life's hierarchies in the terrestrial Antarctic</t>
  </si>
  <si>
    <t>biogeography; biological invasions; climate change; conservation planning; extinction phenotypic plasticity</t>
  </si>
  <si>
    <t>SOUTHERN VICTORIA LAND; PRINGLEOPHAGA-MARIONI LEPIDOPTERA; BENEFICIAL ACCLIMATION HYPOTHESIS; WEEVIL SPECIES COLEOPTERA; SIMULATED CLIMATE-CHANGE; PRINCE-EDWARD-ISLANDS; MOSS-TURF HABITAT; UV-B RADIATION; GENETIC-VARIATION; ROSS ISLAND</t>
  </si>
  <si>
    <t>Antarctica and its surrounding islands lie at one extreme of global variation in diversity. Typically, these regions are characterized as being species poor and having simple food webs. Here, we show that terrestrial systems in the region are nonetheless characterized by substantial spatial and temporal variations at virtually all of the levels of the genealogical and ecological hierarchies which have been thoroughly investigated. Spatial variation at the individual and population levels has been documented in a variety of genetic studies, and in mosses it appears that UV-B radiation might be responsible for within-clump mutagenesis. At the species level, modern molecular methods have revealed considerable endemism of the Antarctic biota, questioning ideas that small organisms are likely to be ubiquitous and the taxa to which they belong species poor. At the biogeographic level, much of the relatively small ice-free area of Antarctica remains unsurveyed making analyses difficult. Nonetheless, it is clear that a major biogeographic discontinuity separates the Antarctic Peninsula and continental Antarctica, here named the 'Gressitt Line'. Across the Southern Ocean islands, patterns are clearer, and energy availability is an important correlate of indigenous and exotic species richness, while human visitor numbers explain much of the variation in the latter too. Temporal variation at the individual level has much to do with phenotypic plasticity, and considerable life-history and physiological plasticity seems to be a characteristic of Antarctic terrestrial species. Environmental unpredictability is an important driver of this trait and has significantly influenced life histories across the region and probably throughout much of the temperate Southern Hemisphere. Rapid climate change-related alterations in the range and abundance of several Antarctic and sub-Antarctic populations have taken place over the past several decades. In many sub-Antarctic locations, these have been exacerbated by direct and indirect effects of invasive alien species. Interactions between climate change and invasion seem set to become one of the most significant conservation problems in the Antarctic. We conclude that despite the substantial body of work on the terrestrial biodiversity of the Antarctic, investigations of interactions between hierarchical levels remain scarce. Moreover, little of the available information is being integrated into terrestrial conservation planning, which lags far behind in this region by comparison with most others.</t>
  </si>
  <si>
    <t>Univ Stellenbosch, Dept Bot &amp; Zool, Ctr Invas Biol, ZA-7602 Matieland, South Africa; British Antarctic Survey, NERC, Cambridge CB3 0ET, England</t>
  </si>
  <si>
    <t>Stellenbosch University; UK Research &amp; Innovation (UKRI); Natural Environment Research Council (NERC); NERC British Antarctic Survey</t>
  </si>
  <si>
    <t>Convey, Peter/AAV-5728-2020; Chown, Steven/ABD-7646-2021; Chown, Steven L/H-3347-2011</t>
  </si>
  <si>
    <t>Convey, Peter/0000-0001-8497-9903;</t>
  </si>
  <si>
    <t>10.1098/rstb.2006.1949</t>
  </si>
  <si>
    <t>WOS:000250644100009</t>
  </si>
  <si>
    <t>Kock, KH; Reid, K; Croxall, J; Nicol, S</t>
  </si>
  <si>
    <t>Kock, Karl-Hermann; Reid, Keith; Croxall, John; Nicol, Stephen</t>
  </si>
  <si>
    <t>Fisheries in the Southern Ocean: an ecosystem approach</t>
  </si>
  <si>
    <t>fisheries; Southern Ocean; CCAMLR; ecosystem approach</t>
  </si>
  <si>
    <t>ANTARCTIC SEA-ICE; ICEFISH CHAMPSOCEPHALUS-GUNNARI; KRILL EUPHAUSIA-SUPERBA; MACKEREL ICEFISH; ARCTOCEPHALUS-GAZELLA; ELEPHANT ISLAND; FUR SEALS; MANAGEMENT; EXTENT; GEORGIA</t>
  </si>
  <si>
    <t>The Commission for the Conservation of Antarctic Marine Living Resources (CCAMLR) is bound by its Article II, 3 to follow an ecosystem approach to management. This approach has been extended to the application of a precautionary approach in the late 1980s. In our review, we deal primarily with the science-related aspects of CCAMLR and its development towards an ecosystem approach to the management of the living resources of the Southern Ocean. To assist the Commission in meeting its objectives, as set out in Article II, 3, the Scientific Committee established the CCAMLR Ecosystem Monitoring Programme to detect possible effects of krill fishing on the performance of top-level predators, such as albatrosses, penguins, petrels and fur seals. Fisheries in the Southern Ocean followed the fate of other fisheries worldwide in which target species were depleted to low level one after the other. Currently, two types of fisheries are open: the longline fisheries on Patagonian toothfish (Dissostichus eleginoides) and Antarctic toothfish (Dissostichus mawsoni) and the trawl fisheries on mackerel icefish (Champsocephalus gunnari). Both fisheries are managed in a single-species context, however, with conservation measures in place to protect by-catch species, such as rattails (Macrouridae) and skates and rays (Rajidae). Two major problems still exist in fisheries in the Southern Ocean: the by-catch of birds in longline fisheries primarily in the Indian Ocean and the high level of IUU fishing again in the Indian Ocean. Both, the by-catch of birds and high IUU catches undermine the credibility of CCAMLR to safeguard the marine living resources in the Southern Ocean.</t>
  </si>
  <si>
    <t>Bundesforsch Anstalt Landwirtschaft Fr Fischerei, Inst Seefischerei, D-22767 Hamburg, Germany; British Antarctic Survey, NERC, Cambridge CB2 OET, England; Australian Antarctic Div, Kingston, Tas 7050, Australia</t>
  </si>
  <si>
    <t>UK Research &amp; Innovation (UKRI); Natural Environment Research Council (NERC); NERC British Antarctic Survey; Australian Antarctic Division</t>
  </si>
  <si>
    <t>Kock, KH (corresponding author), Bundesforsch Anstalt Landwirtschaft Fr Fischerei, Inst Seefischerei, Palmaille 9, D-22767 Hamburg, Germany.</t>
  </si>
  <si>
    <t>karl-hermann.kock@ish.bfa-fisch.de</t>
  </si>
  <si>
    <t>10.1098/rstb.2006.1954</t>
  </si>
  <si>
    <t>WOS:000250644100010</t>
  </si>
  <si>
    <t>Trathan, PN; Forcada, J; Murphy, EJ</t>
  </si>
  <si>
    <t>Trathan, P. N.; Forcada, J.; Murphy, E. J.</t>
  </si>
  <si>
    <t>Environmental forcing and Southern Ocean marine predator populations: effects of climate change and variability</t>
  </si>
  <si>
    <t>climate change; recent; rapid; regional warming</t>
  </si>
  <si>
    <t>ANTARCTIC FUR SEALS; KRILL EUPHAUSIA-SUPERBA; PENGUINS PYGOSCELIS-PAPUA; ARCTOCEPHALUS-GAZELLA; ICE-EXTENT; INTERANNUAL VARIABILITY; CIRCUMPOLAR WAVE; OCEANOGRAPHIC VARIABILITY; REPRODUCTIVE SUCCESS; EUBALAENA-AUSTRALIS</t>
  </si>
  <si>
    <t>The Southern Ocean is a major component within the global ocean and climate system and potentially the location where the most rapid climate change is most likely to happen, particularly in the high-latitude polar regions. In these regions, even small temperature changes can potentially lead to major environmental perturbations. Climate change is likely to be regional and may be expressed in various ways, including alterations to climate and weather patterns across a variety of time-scales that include changes to the long interdecadal background signals such as the development of the El Nino-Southern Oscillation (ENSO). Oscillating climate signals such as ENSO potentially provide a unique opportunity to explore how biological communities respond to change. This approach is based on the premise that biological responses to shorter-term sub-decadal climate variability signals are potentially the best predictor of biological responses over longer time-scales. Around the Southern Ocean, marine predator populations show periodicity in breeding performance and productivity, with relationships with the environment driven by physical forcing from the ENSO region in the Pacific. Wherever examined, these relationships are congruent with mid-trophic-level processes that are also correlated with environmental variability. The short-term changes to ecosystem structure and function observed during ENSO events herald potential long-term changes that may ensue following regional climate change. For example, in the South Atlantic, failure of Antarctic krill recruitment will inevitably foreshadow recruitment failures in a range of higher trophic-level marine predators. Where predator species are not able to accommodate by switching to other prey species, population-level changes will follow. The Southern Ocean, though oceano-graphically interconnected, is not a single ecosystem and different areas are dominated by different food webs. Where species occupy different positions in different regional food webs, there is the potential to make predictions about future change scenarios.</t>
  </si>
  <si>
    <t>Trathan, PN (corresponding author), British Antarctic Survey, High Cross,Madingley Rd, Cambridge CB3 0ET, England.</t>
  </si>
  <si>
    <t>p.trathan@bas.ac.uk</t>
  </si>
  <si>
    <t>Forcada, Jaume/GYU-0677-2022; murphy, eugene/GZL-1620-2022</t>
  </si>
  <si>
    <t>10.1098/rstb.2006.1953</t>
  </si>
  <si>
    <t>WOS:000250644100011</t>
  </si>
  <si>
    <t>Kenaley, CP</t>
  </si>
  <si>
    <t>Kenaley, Christopher P.</t>
  </si>
  <si>
    <t>Revision of the stoplight loosejaw genus Malacosteus (Teleostei: Stomiidae: Malacosteinae), with description of a new species from the temperate southern hemisphere and Indian Ocean</t>
  </si>
  <si>
    <t>COPEIA</t>
  </si>
  <si>
    <t>FAR-RED BIOLUMINESCENCE; GULF-OF-MEXICO; DEEP-SEA FISH; DRAGON FISH; SEXUAL SELECTION; TROPHIC ECOLOGY; PISCES; NIGER; ARISTOSTOMIAS; CHLOROPHYLL</t>
  </si>
  <si>
    <t>Species of the deep-sea stomiid fish genus Malacosteus are readily diagnosed within the Malacosteinae by the presence of a single round nostril on each side of the snout, palatine bones without teeth, and a single large tear-shaped accessory light organ positioned below the anterior margin of the eye. In contrast to the many recent investigations into the biochemical basis of the red-shifted bioluminescence produced by the accessory light organ, Malacosteus has received little taxonomic scrutiny in the last 75 years. Four nominal species of Malacosteus have been described: M. niger, M. indicus, M. choristodactylus, and M. danae. Two species are considered valid: M. niger and a new species known from 182 specimens captured in temperate and sub-Antarctic waters of the southern hemisphere, the tropical Indian Ocean, and waters of the Indo-Australian Archipelago. Diagnosed primarily on the basis of postorbital photophore size and serial photophore counts, the new species differs further from its only known congener in having relatively small jaws and fleshy orbit.</t>
  </si>
  <si>
    <t>Univ Washington, Coll Ocean &amp; Fishery Sci, Sch Aquat &amp; Fishery Sci, Seattle, WA 98195 USA</t>
  </si>
  <si>
    <t>Kenaley, CP (corresponding author), Univ Washington, Coll Ocean &amp; Fishery Sci, Sch Aquat &amp; Fishery Sci, Box 355020, Seattle, WA 98195 USA.</t>
  </si>
  <si>
    <t>ckenaley@u.washington.edu</t>
  </si>
  <si>
    <t>AMER SOC ICHTHYOLOGISTS HERPETOLOGISTS</t>
  </si>
  <si>
    <t>CHARLESTON</t>
  </si>
  <si>
    <t>UNIV CHARLESTON, GRICE MARINE LABORATORY, 205 FORT JOHNSON RD, CHARLESTON, SC 29412 USA</t>
  </si>
  <si>
    <t>0045-8511</t>
  </si>
  <si>
    <t>Copeia</t>
  </si>
  <si>
    <t>DEC 28</t>
  </si>
  <si>
    <t>247SK</t>
  </si>
  <si>
    <t>WOS:000252100300011</t>
  </si>
  <si>
    <t>Kaempfer, TU; Hopkins, MA; Perovich, DK</t>
  </si>
  <si>
    <t>Kaempfer, T. U.; Hopkins, M. A.; Perovich, D. K.</t>
  </si>
  <si>
    <t>A three-dimensional microstructure-based photon-tracking model of radiative transfer in snow</t>
  </si>
  <si>
    <t>NONSPHERICAL ICE PARTICLE; BIDIRECTIONAL REFLECTANCE; ANTARCTIC SNOW; SOLAR-RADIATION; SPECTRAL ALBEDO; ABSORPTION-COEFFICIENTS; ULTRAVIOLET-RADIATION; INDEPENDENT SPHERES; OPTICAL-PROPERTIES; SURFACE ALBEDO</t>
  </si>
  <si>
    <t>[1] Solar radiation is a key component of the energy budget of snow-covered landscapes. Even a thin snow cover reflects most of the incident sunlight and transmits little. An understanding of the interaction of solar radiation with snow is essential to the study of the snow thermodynamics, chemistry, hydrology, ecology, and remote sensing. To investigate this interaction, a microstructure-based photon-tracking algorithm is presented. The three-dimensional snow microstructure is provided either by a discrete element model defined by shape, size, and spatial arrangement of individual ice grains or by an X-ray microtomography image of a snowpack. The model uses refraction, Fresnel reflection, and absorption laws, and the only optical input parameters are the complex index of refraction and absorption coefficient. The model follows individual photons through the microstructure, a porous network of ice and air, applying the fundamental optics laws at the ice-air interfaces and within the ice. By firing tens of thousands of photons a detailed examination of the spectral radiance and irradiance above, below, and within the snowpack is possible. The model was compared to results from a discrete ordinates model, and its sensitivity to the microstructural representation was studied. It was applied to investigate changes in reflected, absorbed, and transmitted light as a function of wavelength, snow depth, grain size, and snow density, used to predict the amount and direction of scattering within the snowpack, and used to explore the interaction of a collimated beam with snow.</t>
  </si>
  <si>
    <t>[Kaempfer, T. U.; Hopkins, M. A.; Perovich, D. K.] USA, Cold Reg Res &amp; Engn Lab, Engineer Res &amp; Dev Ctr, Hanover, NH 03755 USA</t>
  </si>
  <si>
    <t>United States Department of Defense; United States Army; U.S. Army Corps of Engineers; U.S. Army Engineer Research &amp; Development Center (ERDC); Cold Regions Research &amp; Engineering Laboratory (CRREL); Geospatial Research Laboratory (GRL)</t>
  </si>
  <si>
    <t>Kaempfer, TU (corresponding author), USA, Cold Reg Res &amp; Engn Lab, Engineer Res &amp; Dev Ctr, 72 Lyme Rd, Hanover, NH 03755 USA.</t>
  </si>
  <si>
    <t>Kampfer, Thomas/0009-0008-5797-2667</t>
  </si>
  <si>
    <t>D24</t>
  </si>
  <si>
    <t>D24113</t>
  </si>
  <si>
    <t>10.1029/2006JD008239</t>
  </si>
  <si>
    <t>246NM</t>
  </si>
  <si>
    <t>WOS:000252013700004</t>
  </si>
  <si>
    <t>Anastasio, C; Robles, T</t>
  </si>
  <si>
    <t>Anastasio, Cort; Robles, Tony</t>
  </si>
  <si>
    <t>Light absorption by soluble chemical species in Arctic and Antarctic snow</t>
  </si>
  <si>
    <t>HYDROGEN-PEROXIDE; SURFACE SNOW; PHOTOCHEMICAL NO; INTERSTITIAL AIR; NITROGEN-DIOXIDE; AQUEOUS-PHASE; NITRATE; ICE; PHOTOLYSIS; SUMMIT</t>
  </si>
  <si>
    <t>Using a liquid core waveguide spectrophotometer we have quantified the very low light absorption of dissolved chromophores ( light absorbing trace species) in filtered samples of melted polar snows. Light absorption coefficients at 280 nm span the ranges of 0.005-0.029 m(-1) and 0.002-0.027 m(-1) for samples from Summit, Greenland, and Dome C, Antarctica, respectively. Absorption coefficients decrease with increasing wavelength and also decrease with depth in the snowpack. At both sites, NO3- and H2O2 together account for approximately half of the summed light absorption coefficients for wavelengths of 280 nm and above; the remaining similar to 50% of light absorption is due to unknown, probably organic, chromophores. Rates of sunlight absorption by soluble chromophores in surface snows are approximately (1-4) x 10(11) and (0.5-9) x 10(11) photons cm(-3) s(-1) during summer at Summit and Dome C, respectively. Approximately 50-90% of this sunlight absorption is due to unknown chromophores, while the remainder is due to hydrogen peroxide and nitrate. Although we do not know quantum yields for the photochemical reactions of the unknown chromophores, their large contribution to the rate of sunlight absorption suggests that they play an important role in the photochemistry of polar snowpacks. In addition, at Summit it appears that up to 60% of the unknown chromophores are emitted from the snow into the boundary layer during the day and redeposited at night. This flux might affect the composition and chemistry of both the snowpack and boundary layer.</t>
  </si>
  <si>
    <t>[Anastasio, Cort; Robles, Tony] Univ Calif Davis, Dept Land Air &amp; Water Resources, Atmospher Sci Program, Davis, CA 95616 USA</t>
  </si>
  <si>
    <t>Anastasio, C (corresponding author), Univ Calif Davis, Dept Land Air &amp; Water Resources, Atmospher Sci Program, 1 Shields Ave, Davis, CA 95616 USA.</t>
  </si>
  <si>
    <t>canastasio@ucdavis.edu; roblest@ssd.loral.com</t>
  </si>
  <si>
    <t>DEC 27</t>
  </si>
  <si>
    <t>D24304</t>
  </si>
  <si>
    <t>10.1029/2007JD008695</t>
  </si>
  <si>
    <t>246NL</t>
  </si>
  <si>
    <t>WOS:000252013600003</t>
  </si>
  <si>
    <t>Singh, SM; Nayaka, S; Upreti, DK</t>
  </si>
  <si>
    <t>Singh, Shiv Mohan; Nayaka, Sanjeeva; Upreti, D. K.</t>
  </si>
  <si>
    <t>Lichen communities in Larsemann Hills, East Antarctica</t>
  </si>
  <si>
    <t>CURRENT SCIENCE</t>
  </si>
  <si>
    <t>[Singh, Shiv Mohan] Natl Ctr Antarctic &amp; Ocean Res, Vasco Da Gama 403804, Goa, India; [Nayaka, Sanjeeva; Upreti, D. K.] Natl Bot Res Inst, Lichenol Lab, Lucknow 226001, Uttar Pradesh, India</t>
  </si>
  <si>
    <t>Ministry of Earth Sciences (MoES) - India; National Centre for Polar and Ocean Research (NCPOR); Council of Scientific &amp; Industrial Research (CSIR) - India; CSIR - National Botanical Research Institute (NBRI)</t>
  </si>
  <si>
    <t>Singh, SM (corresponding author), Natl Ctr Antarctic &amp; Ocean Res, Head Land Sada, Vasco Da Gama 403804, Goa, India.</t>
  </si>
  <si>
    <t>smsingh@ncaor.org</t>
  </si>
  <si>
    <t>Nayaka, Sanjeeva/AAT-4850-2020</t>
  </si>
  <si>
    <t>Nayaka, Sanjeeva/0000-0001-6541-2362</t>
  </si>
  <si>
    <t>CURRENT SCIENCE ASSOC</t>
  </si>
  <si>
    <t>BANGALORE</t>
  </si>
  <si>
    <t>C V RAMAN AVENUE, PO BOX 8005, BANGALORE 560 080, INDIA</t>
  </si>
  <si>
    <t>0011-3891</t>
  </si>
  <si>
    <t>CURR SCI INDIA</t>
  </si>
  <si>
    <t>Curr. Sci.</t>
  </si>
  <si>
    <t>DEC 25</t>
  </si>
  <si>
    <t>249SJ</t>
  </si>
  <si>
    <t>WOS:000252249700017</t>
  </si>
  <si>
    <t>Mongin, M; Nelson, DM; Pondaven, P; Treguer, P</t>
  </si>
  <si>
    <t>Mongin, Mathieu; Nelson, David M.; Pondaven, Philippe; Treguer, Paul</t>
  </si>
  <si>
    <t>Potential phytoplankton responses to iron and stratification changes in the Southern Ocean based on a flexible-composition phytoplankton model</t>
  </si>
  <si>
    <t>GLOBAL BIOGEOCHEMICAL CYCLES</t>
  </si>
  <si>
    <t>PRIMARY PRODUCTIVITY; EXPORT PRODUCTION; ECOSYSTEM MODEL; PACIFIC SECTOR; SI; LIGHT; BIOGEOCHEMISTRY; FERTILIZATION; GROWTH; BLOOM</t>
  </si>
  <si>
    <t>[1] Under present climatic conditions, primary production in the Southern Ocean is limited by a combination of grazing pressure, the light/mixing regime, and iron. The response of the ecosystem to a permanent increase of iron supply and/or changes in the mixing regime is analyzed with a flexible-composition phytoplankton model that includes C, N, Si, and Fe cycling. Limitation of phytoplankton growth by light and nutrients ( Si, N, and Fe) is treated through their effects on cellular elemental composition. The model is applied to the KERFIX time series in the subantarctic region. Two physical scenarios are considered, normal and reduced mixed layer depth, with four different aeolian inputs of Fe in each case ranging from 1 to 1000 times the estimated present input. These simulations suggest that Fe supply via dust and rain must be increased by more than a factor of 10 to produce significant changes. Increased Fe supply alone causes the bloom to occur later in the season ( summer rather than spring), and coupled with a decrease in the mixed layer depth it produces drastic changes in the bloom intensity while preserving its present temporal development. Seasonal interaction between light and Fe limitation plays a critical role in controlling the primary and export production. If aeolian Fe input is increased by a factor of 1000, and mixed layer depth is reduced at the same time, export of carbon increases by a factor of 3. Light limitation prevents complete drawdown of nitrate, even if Fe limitation is removed and mixed layer depth reduced. This sets an upper limit on the primary production that can be achieved under the present meteorological conditions in this sector of the Southern Ocean.</t>
  </si>
  <si>
    <t>[Mongin, Mathieu] Antarctic Climate &amp; Ecosyst Cooperat Res Ctr, Hobart, Tas, Australia; [Nelson, David M.] Oregon State Univ, Coll Ocean &amp; Atmospher Sci, Corvallis, OR 97331 USA; [Nelson, David M.; Pondaven, Philippe; Treguer, Paul] CNRS, UMR 6539, Inst Univ Europeen Mer, Plouzane, France</t>
  </si>
  <si>
    <t>Antarctic Climate &amp; Ecosystems Cooperative Research Centre (ACE CRC); Oregon State University; Centre National de la Recherche Scientifique (CNRS); CNRS - Institute of Ecology &amp; Environment (INEE); Ifremer; Institut de Recherche pour le Developpement (IRD); Universite de Bretagne Occidentale; Institut Universitaire Europeen de la Mer (IUEM)</t>
  </si>
  <si>
    <t>Mongin, M (corresponding author), Antarctic Climate &amp; Ecosyst Cooperat Res Ctr, Hobart, Tas, Australia.</t>
  </si>
  <si>
    <t>Treguer, Paul/H-6064-2012; mongin, mathieu/G-4169-2015</t>
  </si>
  <si>
    <t>mongin, mathieu/0000-0001-9647-0530; Pondaven, Philippe/0000-0002-3427-7767</t>
  </si>
  <si>
    <t>0886-6236</t>
  </si>
  <si>
    <t>GLOBAL BIOGEOCHEM CY</t>
  </si>
  <si>
    <t>Glob. Biogeochem. Cycle</t>
  </si>
  <si>
    <t>DEC 22</t>
  </si>
  <si>
    <t>GB4020</t>
  </si>
  <si>
    <t>10.1029/2007GB002972</t>
  </si>
  <si>
    <t>244PO</t>
  </si>
  <si>
    <t>WOS:000251878000001</t>
  </si>
  <si>
    <t>Thorne, RM; Horne, RB</t>
  </si>
  <si>
    <t>Thorne, R. M.; Horne, R. B.</t>
  </si>
  <si>
    <t>Khazanov et al. [2002] and Khazanov et al. [2006]</t>
  </si>
  <si>
    <t>ION-CYCLOTRON WAVES; LINEAR DIFFUSION-COEFFICIENTS; EMIC WAVES; GEOMAGNETIC STORMS; PLASMA; ENERGY; MODEL; MAGNETOSPHERE; PRECIPITATION; ABSORPTION</t>
  </si>
  <si>
    <t>[Horne, R. B.] British Antarctic Survey, NERC, Cambridge CB3 0ET, England; [Thorne, R. M.] Univ Calif Los Angeles, Dept Atmospher &amp; Ocean Sci, Los Angeles, CA 90095 USA</t>
  </si>
  <si>
    <t>UK Research &amp; Innovation (UKRI); Natural Environment Research Council (NERC); NERC British Antarctic Survey; University of California System; University of California Los Angeles</t>
  </si>
  <si>
    <t>Horne, RB (corresponding author), British Antarctic Survey, NERC, Madingley Rd, Cambridge CB3 0ET, England.</t>
  </si>
  <si>
    <t>rmt@atmos.ucla.edu; r.horne@bas.ac.uk</t>
  </si>
  <si>
    <t>Horne, Richard B/U-3764-2019</t>
  </si>
  <si>
    <t>Horne, Richard B/0000-0002-0412-6407</t>
  </si>
  <si>
    <t>A12</t>
  </si>
  <si>
    <t>A12214</t>
  </si>
  <si>
    <t>10.1029/2007JA012268</t>
  </si>
  <si>
    <t>244RG</t>
  </si>
  <si>
    <t>WOS:000251882400003</t>
  </si>
  <si>
    <t>Murphy, EJ; Trathan, PN; Watkins, JL; Reid, K; Meredith, MP; Forcada, J; Thorpe, SE; Johnston, NM; Rothery, P</t>
  </si>
  <si>
    <t>Murphy, Eugene J.; Trathan, Philip N.; Watkins, Jon L.; Reid, Keith; Meredith, Michael P.; Forcada, Jaume; Thorpe, Sally E.; Johnston, Nadine M.; Rothery, Peter</t>
  </si>
  <si>
    <t>Climatically driven fluctuations in Southern Ocean ecosystems</t>
  </si>
  <si>
    <t>PROCEEDINGS OF THE ROYAL SOCIETY B-BIOLOGICAL SCIENCES</t>
  </si>
  <si>
    <t>Southern Ocean; ecosystem; krill; predators; climate; El nino southern oscillation</t>
  </si>
  <si>
    <t>KRILL EUPHAUSIA-SUPERBA; ANTARCTIC CIRCUMPOLAR WAVE; SEA-ICE EXTENT; NORTH-ATLANTIC OSCILLATION; PACIFIC EL-NINO; POPULATION-DYNAMICS; SCOTIA SEA; CLIMATE-CHANGE; TEMPORAL VARIATION; FOOD-WEB</t>
  </si>
  <si>
    <t>Determining how climate fluctuations affect ocean ecosystems requires an understanding of how biological and physical processes interact across a wide range of scales. Here we examine the role of physical and biological processes in generating fluctuations in the ecosystem around South Georgia in the South Atlantic sector of the Southern Ocean. Anomalies in sea surface temperature (SST) in the South Pacific sector of the Southern Ocean have previously been shown to be generated through atmospheric teleconnections with El Nino Southern Oscillation (ENSO)-related processes. These SST anomalies are propagated via the Antarctic Circumpolar Current into the South Atlantic (on time scales of more than 1 year), where ENSO and Southern Annular Mode-related atmospheric processes have a direct influence on short (less than six months) time scales. We find that across the South Atlantic sector, these changes in SST, and related fluctuations in winter sea ice extent, affect the recruitment and dispersal of Antarctic krill. This oceanographically driven variation in krill population dynamics and abundance in turn affects the breeding success of seabird and marine mammal predators that depend on krill as food. Such propagating anomalies, mediated through physical and trophic interactions, are likely to be an important component of variation in ocean ecosystems and affect responses to longer term change. Population models derived on the basis of these oceanic fluctuations indicate that plausible rates of regional warming of VC over the next 100 years could lead to more than a 95% reduction in the biomass and abundance of krill across the Scotia Sea by the end of the century.</t>
  </si>
  <si>
    <t>British Antarctic Survey, NERC, Cambridge CB3 0ET, England; Ctr Ecol &amp; Hydrol, NERC, Huntingdon PE28 2LS, Cambs, England</t>
  </si>
  <si>
    <t>UK Research &amp; Innovation (UKRI); Natural Environment Research Council (NERC); NERC British Antarctic Survey; UK Centre for Ecology &amp; Hydrology (UKCEH); UK Research &amp; Innovation (UKRI); Natural Environment Research Council (NERC)</t>
  </si>
  <si>
    <t>Murphy, EJ (corresponding author), British Antarctic Survey, NERC, High Cross,Madingley Rd, Cambridge CB3 0ET, England.</t>
  </si>
  <si>
    <t>e.murphy@bas.ac.uk</t>
  </si>
  <si>
    <t>murphy, eugene/GZL-1620-2022; Forcada, Jaume/GYU-0677-2022</t>
  </si>
  <si>
    <t>Meredith, Michael/0000-0002-7342-7756; Johnston, Nadine M/0000-0003-2211-1492; Thorpe, Sally/0000-0002-5193-6955</t>
  </si>
  <si>
    <t>Natural Environment Research Council [bas010017, CEH010021] Funding Source: researchfish; NERC [bas010017] Funding Source: UKRI</t>
  </si>
  <si>
    <t>0962-8452</t>
  </si>
  <si>
    <t>1471-2954</t>
  </si>
  <si>
    <t>P ROY SOC B-BIOL SCI</t>
  </si>
  <si>
    <t>Proc. R. Soc. B-Biol. Sci.</t>
  </si>
  <si>
    <t>10.1098/rspb.2007.1180</t>
  </si>
  <si>
    <t>Biology; Ecology; Evolutionary Biology</t>
  </si>
  <si>
    <t>Life Sciences &amp; Biomedicine - Other Topics; Environmental Sciences &amp; Ecology; Evolutionary Biology</t>
  </si>
  <si>
    <t>237JD</t>
  </si>
  <si>
    <t>Green Published, Green Accepted, hybrid</t>
  </si>
  <si>
    <t>WOS:000251369100002</t>
  </si>
  <si>
    <t>Clark, MS; Thorne, MAS; Purac, J; Grubor-Lajsic, G; Kube, M; Reinhardt, R; Worland, MR</t>
  </si>
  <si>
    <t>Clark, Melody S.; Thorne, Michael A. S.; Purac, Jelena; Grubor-Lajsic, Gordana; Kube, Michael; Reinhardt, Richard; Worland, M. Roger</t>
  </si>
  <si>
    <t>Surviving extreme polar winters by desiccation: clues from Arctic springtail (Onychiurus arcticus) EST libraries</t>
  </si>
  <si>
    <t>DUPLEX-SPECIFIC NUCLEASE; COLD TOLERANCE; DOMESTICATED SILKWORM; CDNA; DEHYDRATION; COLLEMBOLA; AQUAPORIN; PROTEINS; SEQUENCE; CLONING</t>
  </si>
  <si>
    <t>Background: Ice, snow and temperatures of -14C are conditions which most animals would find difficult, if not impossible, to survive in. However this exactly describes the Arctic winter, and the Arctic springtail Onychiurus arcticus regularly survives these extreme conditions and re-emerges in the spring. It is able to do this by reducing the amount of water in its body to almost zero: a process that is called protective dehydration. The aim of this project was to generate clones and sequence data in the form of ESTs to provide a platform for the future molecular characterisation of the processes involved in protective dehydration. Results: Five normalised libraries were produced from both desiccating and rehydrating populations of O. arcticus from stages that had previously been defined as potentially informative for molecular analyses. A total of 16,379 EST clones were generated and analysed using Blast and GO annotation. 40% of the clones produced significant matches against the Swissprot and trembl databases and these were further analysed using GO annotation. Extraction and analysis of GO annotations proved an extremely effective method for identifying generic processes associated with biochemical pathways, proving more efficient than solely analysing Blast data output. A number of genes were identified, which have previously been shown to be involved in water transport and desiccation such as members of the aquaporin family. Identification of these clones in specific libraries associated with desiccation validates the computational analysis by library rather than producing a global overview of all libraries combined. Conclusion: This paper describes for the first time EST data from the arctic springtail (O. arcticus). This significantly enhances the number of Collembolan ESTs in the public databases, providing useful comparative data within this phylum. The use of GO annotation for analysis has facilitated the identification of a wide variety of ESTs associated with a number of different biochemical pathways involved in the dehydration and recovery process in O. arcticus.</t>
  </si>
  <si>
    <t>[Clark, Melody S.; Thorne, Michael A. S.; Purac, Jelena; Worland, M. Roger] British Antarctic Survey, NERC, Cambridge CB3 0ET, England; [Purac, Jelena; Grubor-Lajsic, Gordana] Univ Novi Sad, Fac Sci, Novi Sad 21000, Serbia; [Kube, Michael; Reinhardt, Richard] Max Planck Inst Mol Genet, D-14195 Berlin, Germany</t>
  </si>
  <si>
    <t>UK Research &amp; Innovation (UKRI); Natural Environment Research Council (NERC); NERC British Antarctic Survey; University of Novi Sad; Max Planck Society</t>
  </si>
  <si>
    <t>mscl@bas.ac.uk; mior@bas.ac.uk; jepi@bas.ac.uk; gordanagl@ib.ns.ac.yu; kube@molgen.mpg.de; rre@molgen.mpg.de; mrwo@bas.ac.uk</t>
  </si>
  <si>
    <t>Clark, Melody/0000-0002-3442-3824; Reinhardt, Richard/0000-0001-9376-2132; Thorne, Michael/0000-0001-7759-612X; Purac, Jelena/0000-0003-0028-9847</t>
  </si>
  <si>
    <t>DEC 21</t>
  </si>
  <si>
    <t>10.1186/1471-2164-8-475</t>
  </si>
  <si>
    <t>266WE</t>
  </si>
  <si>
    <t>Green Accepted, Green Published, Green Submitted, gold</t>
  </si>
  <si>
    <t>WOS:000253467400001</t>
  </si>
  <si>
    <t>Pace, DA; Manahan, DT</t>
  </si>
  <si>
    <t>Pace, Douglas A.; Manahan, Donal T.</t>
  </si>
  <si>
    <t>Efficiencies and costs of larval growth in different food environments (Asteroidea: Asterina miniata)</t>
  </si>
  <si>
    <t>Asterina miniata; cost of growth; echinoderm; energetics; larvae; metabolic efficiency; protein growth</t>
  </si>
  <si>
    <t>ANTARCTIC SEA-URCHIN; MARINE INVERTEBRATE LARVAE; OYSTER CRASSOSTREA-GIGAS; PROTEIN-SYNTHESIS; LIMITED GROWTH; SMALL POIKILOTHERMS; HALIOTIS-RUFESCENS; ENERGY-METABOLISM; FISH; EMBRYOS</t>
  </si>
  <si>
    <t>The ocean is a nutritionally heterogeneous environment. For feeding larval forms, food variability has significant consequences for growth and later recruitment success. In this study, the physiological and biochemical responses to a range of different food concentrations (unfed, 4, 20, and 40 algal cells mu l(-1)) were examined in larvae of the asteroid, Asterina miniata. Measurements of growth, protein synthesis rates, and the energetic cost of protein synthesis were made. Under conditions of rapid growth, protein comprised a larger percent (66%) of a larva's organic biomass compared to similar-aged, slower-growing larvae (26%). Larvae fed at the highest food concentration tested (40 algal cells mu l(-1)) had a protein depositional efficiency of 80% (+/-16%), a value 3-fold higher than larvae fed 20 algal cells mu l(-1) (28%+/-11%). Also, faster-growing larvae required 3-fold less energy per unit mass of protein growth. Larvae fed 40 algal cells mu l(-1) deposited protein at a respiratory cost of 65+/-11 pmol O-2 h(-1) (mu g protein)(-1); larvae fed 20 algal cells mu l(-1) had a cost of 192+/-47 pmol O-2 h(-1) (mu g protein)(-1). While there were differences in the cost to deposit protein (i.e., protein growth, the balance of synthesis and degradation), there were no differences in the energetic cost of protein synthesis for all food concentrations tested. The energetic cost of protein synthesis was fixed at 13.8 (+/-0.92) Joules (mg protein synthesized)(-1) and was independent of developmental stage, growth rates, and large changes (58-fold) in protein synthesis rates. A major conclusion from this study is that larvae grown in high-food environments not only grew faster, but did so for considerably less energy. Defining the complex relationships of food availability and metabolic efficiency will provide more accurate predictions of larval growth under variable food conditions in the ocean. (C) 2007 Elsevier B.V. All rights reserved.</t>
  </si>
  <si>
    <t>[Pace, Douglas A.; Manahan, Donal T.] Univ So Calif, Dept Biol Sci, Los Angeles, CA 90089 USA</t>
  </si>
  <si>
    <t>University of Southern California</t>
  </si>
  <si>
    <t>Manahan, DT (corresponding author), Univ So Calif, Dept Biol Sci, Los Angeles, CA 90089 USA.</t>
  </si>
  <si>
    <t>manahan@usc.edu</t>
  </si>
  <si>
    <t>10.1016/j.jembe.2007.09.005</t>
  </si>
  <si>
    <t>246NY</t>
  </si>
  <si>
    <t>WOS:000252014900009</t>
  </si>
  <si>
    <t>Tilmes, S; Kinnison, DE; Garcia, RR; Müller, R; Sassi, F; Marsh, DR; Boville, BA</t>
  </si>
  <si>
    <t>Tilmes, Simone; Kinnison, Douglas E.; Garcia, Rolando R.; Mueller, Rolf; Sassi, Fabrizio; Marsh, Daniel R.; Boville, Byron A.</t>
  </si>
  <si>
    <t>Evaluation of heterogeneous processes in the polar lower stratosphere in the Whole Atmosphere Community Climate Model</t>
  </si>
  <si>
    <t>ARCTIC OZONE LOSS; MIDDLE-ATMOSPHERE; CHEMISTRY; DEPLETION; HALOGEN; VORTEX</t>
  </si>
  <si>
    <t>Chemical ozone loss in the polar lower stratosphere is derived from an ensemble of three simulations from the Whole Atmosphere Community Climate Model (WACCM3) for the period 1960-2003, using the tracer-tracer correlation technique. We describe a detailed model evaluation of the polar region by applying diagnostics such as vortex temperature, sharpness of the vortex edge, and the potential of activated chlorine (PAC1). Meteorological and chemical information about the polar vortex, temperature, vortex size, and activation time, and level of equivalent effective stratospheric chlorine, are included in PAC1. Discrepancies of the relationship between chemical ozone loss and PAC1 between model and observations are discussed. Simulated PAC1 for Antarctica is in good agreement with observations, owing to slightly lower simulated temperatures and a larger vortex volume than observed. Observed chemical ozone loss of 140 +/- 30 DU in the Antarctic vortex core are reproduced by the WACCM3 simulations. However, WACCM3 with the horizontal resolution used here (4 x 5) is not able to simulate the observed sharp transport barrier at the polar vortex edge. Therefore the model does not produce an homogeneous cold polar vortex. Warmer temperatures in the outer region of the vortex result in less chemical ozone loss over the entire polar vortex than observed. For the Arctic, WACCM3 temperatures are biased high (by 2-3 degrees in the annual average) and the vortex volume and chlorine activation period is significantly smaller than observed. WACCM3 Arctic chemical ozone loss only reaches 20 DU for cold winters, where observations suggest approximate to 80-120 DU.</t>
  </si>
  <si>
    <t>[Tilmes, Simone; Kinnison, Douglas E.; Garcia, Rolando R.; Sassi, Fabrizio; Marsh, Daniel R.; Boville, Byron A.] Natl Ctr Atmospher Res, Boulder, CO 80307 USA; [Mueller, Rolf] Forschungszentrum Julich, Inst Stratospheric Chem, D-52425 Julich, Germany</t>
  </si>
  <si>
    <t>National Center Atmospheric Research (NCAR) - USA; Helmholtz Association; Research Center Julich</t>
  </si>
  <si>
    <t>Tilmes, S (corresponding author), Natl Ctr Atmospher Res, POB 3000, Boulder, CO 80307 USA.</t>
  </si>
  <si>
    <t>tilmes@ucar.edu</t>
  </si>
  <si>
    <t>Müller, Rolf/ABA-8213-2021; Tilmes, Simone/JUV-6618-2023; Marsh, Daniel/A-8406-2008; Garcia-Herrera, Ricardo/ABE-4731-2020</t>
  </si>
  <si>
    <t>Müller, Rolf/0000-0002-5024-9977; Tilmes, Simone/0000-0002-6557-3569; Marsh, Daniel/0000-0001-6699-494X; Sassi, Fabrizio/0000-0002-9492-7434</t>
  </si>
  <si>
    <t>D24301</t>
  </si>
  <si>
    <t>10.1029/2006JD008334</t>
  </si>
  <si>
    <t>244PV</t>
  </si>
  <si>
    <t>WOS:000251878700001</t>
  </si>
  <si>
    <t>von Hobe, M</t>
  </si>
  <si>
    <t>von Hobe, Marc</t>
  </si>
  <si>
    <t>Atmospheric science - Revisiting ozone depletion</t>
  </si>
  <si>
    <t>ANTARCTIC OZONE; CHLORINE; CL2O2</t>
  </si>
  <si>
    <t>Forschungszentrum Julich, Inst Chem &amp; Dynam Geosphere ICG Stratosphere 1, D-52425 Julich, Germany</t>
  </si>
  <si>
    <t>Helmholtz Association; Research Center Julich</t>
  </si>
  <si>
    <t>von Hobe, M (corresponding author), Forschungszentrum Julich, Inst Chem &amp; Dynam Geosphere ICG Stratosphere 1, Postfach 1913, D-52425 Julich, Germany.</t>
  </si>
  <si>
    <t>m.von.hobe@fz-juelich.de</t>
  </si>
  <si>
    <t>von Hobe, Marc/N-3265-2019; von Hobe, Marc/A-7969-2013</t>
  </si>
  <si>
    <t>von Hobe, Marc/0000-0001-6034-6562;</t>
  </si>
  <si>
    <t>10.1126/science.1151597</t>
  </si>
  <si>
    <t>243HE</t>
  </si>
  <si>
    <t>WOS:000251786600044</t>
  </si>
  <si>
    <t>Nielsen, SHH; Hodell, DA; Kamenov, G; Guilderson, T; Perfit, MR</t>
  </si>
  <si>
    <t>Nielsen, Simon H. H.; Hodell, D. A.; Kamenov, G.; Guilderson, T.; Perfit, M. R.</t>
  </si>
  <si>
    <t>Origin and significance of ice-rafted detritus in the Atlantic sector of the Southern Ocean</t>
  </si>
  <si>
    <t>GEOCHEMISTRY GEOPHYSICS GEOSYSTEMS</t>
  </si>
  <si>
    <t>ice-rafted detritus; South Atlantic; Antarctica; sea ice; last glacial period</t>
  </si>
  <si>
    <t>SEA-SURFACE TEMPERATURE; LAST GLACIAL MAXIMUM; AGE CALIBRATION; VOLCANIC ASH; PROVENANCE; STRONTIUM; SEDIMENTS; DEBRIS; STRATIGRAPHY; ANTARCTICA</t>
  </si>
  <si>
    <t>Piston core TN057-14 from the eastern Atlantic sector of the Southern Ocean contains several layers rich in volcanic tephra that were deposited during the last glacial period. Comparison with nearby cores (TN057-13PC4/ODP Site 1094) indicates that these tephra layers are correlative with the South Atlantic (SA) ice-rafted detritus (IRD) layers identified by Kanfoush et al. (2000, 2002). We analyzed the tephra for major and trace elements as well as isotopic ratios of strontium, neodymium, and lead. The elemental and isotopic composition of all tephra layers examined indicates the South Sandwich Island volcanic arc (SSI) as their dominant source, with minor input from Bouvet Island. Similar analyses of clear mineral grains (mainly feldspars, quartz, and olivine) also point to the SSI as the main source. We conclude that tephra erupted from the SSI was first deposited as air fall on sea ice and multiyear ice and then secondarily rafted to the studied sites. Deposition of the tephra-rich IRD layers was controlled by changes in sea surface temperature and sea-ice conditions in the Polar Frontal Zone of the South Atlantic, rather than Antarctic ice sheet dynamics.</t>
  </si>
  <si>
    <t>[Nielsen, Simon H. H.; Hodell, D. A.; Kamenov, G.; Perfit, M. R.] Univ Florida, Dept Geol Sci, Gainesville, FL 32611 USA; [Guilderson, T.] Lawrence Livermore Natl Lab, Ctr Accelerator Mass Spectrometry, Livermore, CA 94550 USA</t>
  </si>
  <si>
    <t>State University System of Florida; University of Florida; United States Department of Energy (DOE); Lawrence Livermore National Laboratory</t>
  </si>
  <si>
    <t>Nielsen, SHH (corresponding author), Florida State Univ, Dept Geol Sci, 108 Carraway Bldg, Tallahassee, FL 32306 USA.</t>
  </si>
  <si>
    <t>nielsen@gly.fsu.edu</t>
  </si>
  <si>
    <t>Kamenov, George/AAE-6176-2020</t>
  </si>
  <si>
    <t>Kamenov, George/0000-0002-6041-6687; Hodell, David/0000-0001-8537-1588; Guilderson, Thomas/0000-0001-9371-7059; Perfit, Michael/0000-0002-1399-8928</t>
  </si>
  <si>
    <t>1525-2027</t>
  </si>
  <si>
    <t>GEOCHEM GEOPHY GEOSY</t>
  </si>
  <si>
    <t>Geochem. Geophys. Geosyst.</t>
  </si>
  <si>
    <t>DEC 20</t>
  </si>
  <si>
    <t>Q12005</t>
  </si>
  <si>
    <t>10.1029/2007GC001618</t>
  </si>
  <si>
    <t>244OZ</t>
  </si>
  <si>
    <t>WOS:000251876500002</t>
  </si>
  <si>
    <t>Martin, AK</t>
  </si>
  <si>
    <t>Martin, A. K.</t>
  </si>
  <si>
    <t>Gondwana breakup via double-saloon-door rifting and seafloor spreading in a backarc basin during subduction rollback</t>
  </si>
  <si>
    <t>TECTONOPHYSICS</t>
  </si>
  <si>
    <t>Gondwana breakup; double-saloon-door seafloor spreading; plate tectonics; backarc basin; subduction rollback; opposite rotations of terranes</t>
  </si>
  <si>
    <t>CAPE FOLD BELT; WEDDELL SEA; ANTARCTIC PENINSULA; FALKLAND-ISLANDS; WEST-ANTARCTICA; TYRRHENIAN SEA; INDIAN-OCEAN; PALEOMAGNETIC EVIDENCE; STRUCTURAL EVOLUTION; EXTENSIONAL TECTONICS</t>
  </si>
  <si>
    <t>A model has been developed where two arc-parallel rifts propagate in opposite directions from an initial central location during backarc seafloor spreading and subduction rollback. The resultant geometry causes pairs of terranes to simultaneously rotate clockwise and counterclockwise like the motion of double-saloon-doors about their hinges. As movement proceeds and the two terranes rotate, a gap begins to extend between them, where a third rift initiates and propagates in the opposite direction to subduction rollback. Observations from the Oligocene to Recent Western Mediterranean, the Miocene to Recent Carpathians, the Miocene to Recent Aegean and the Oligocene to Recent Caribbean point to a two-stage process. Initially, pairs of terranes comprising a pre-existing retro-arc fold thrust belt and magmatic arc rotate about poles and accrete to adjacent continents. Terrane docking reduces the width of the subduction zone, leading to a second phase during which subduction to strike-slip transitions initiate. The clockwise rotated terrane is caught up in a dextral strike-slip zone, whereas the counterclockwise rotated terrane is entrained in a sinistral strike-slip fault system. The likely driving force is a pair of rotational torques caused by slab sinking and rollback of a curved subduction hingeline. By analogy with the above model, a revised five-stage Early Jurassic to Early Cretaceous Gondwana dispersal model is proposed in which three plates always separate about a single triple rift or triple junction in the Weddell Sea area. Seven features are considered diagnostic of double-saloon-door rifting and seafloor spreading: i) earliest movement involves clockwise and counterclockwise rotations of the Falkland Islands Block and the Ellsworth Whitmore Terrane respectively; ii) terranes comprise areas of a pre-existing retro-arc fold thrust belt (the Permo-Triassic Gondwanide Orogeny) attached to an accretionary wedge/magmatic are; the Falklands Islands Block is initially attached to Southern Patagonia/West Antarctic Peninsula, while the Ellsworth Whitmore Terrane is combined with the Thurston Island Block; iii) paleogeographies demonstrate rifting and extension in a backarc environment relative to a Pacific margin subduction zone/accretionary wedge where simultaneous crustal shortening occurs; iv) a ridge jump towards the subduction zone from east of the Falkland Islands to the Rocas Verdes Basin evinces subduction rollback; v) this ridge jump combined with backarc extension isolated an area of thicker continental crust - The Falkland Islands Block; vi) well-documented EW oriented seafloor spreading anomalies in the Weddell Sea are perpendicular to the subduction zone and propagate in the opposite direction to rollback; vii) the dextral strike-slip Gastre and sub-parallel faults form one boundary of the Gondwana subduction rollback, whereas the other boundary may be formed by inferred sinistral strike-slip motion between a combined Thurston Island/Ellsworth Whitmore Terrane and Marie Byrd Land/East Antarctica. (c) 2007 Elsevier B.V All rights reserved.</t>
  </si>
  <si>
    <t>Repsol YPF Explorac, Dubai, U Arab Emirates</t>
  </si>
  <si>
    <t>Repsol</t>
  </si>
  <si>
    <t>Martin, AK (corresponding author), Repsol YPF Explorac, Al Fattan Plaza,POB 35700, Dubai, U Arab Emirates.</t>
  </si>
  <si>
    <t>kmartin@repsolypf.com</t>
  </si>
  <si>
    <t>Martin, Keith/0000-0003-4783-9607</t>
  </si>
  <si>
    <t>0040-1951</t>
  </si>
  <si>
    <t>1879-3266</t>
  </si>
  <si>
    <t>Tectonophysics</t>
  </si>
  <si>
    <t>10.1016/j.tecto.2007.08.011</t>
  </si>
  <si>
    <t>246VW</t>
  </si>
  <si>
    <t>WOS:000252036800007</t>
  </si>
  <si>
    <t>Siegismund, F; Johannessen, J; Drange, H; Mork, KA; Korablev, A</t>
  </si>
  <si>
    <t>Siegismund, F.; Johannessen, J.; Drange, H.; Mork, K. A.; Korablev, A.</t>
  </si>
  <si>
    <t>Steric height variability in the Nordic seas</t>
  </si>
  <si>
    <t>NORTHERN NORTH-ATLANTIC; ADVECTION TRANSPORT ALGORITHM; ARCTIC-OCEAN; INTERANNUAL VARIABILITY; MODEL; TEMPERATURES; CIRCULATION; SALINITY; LEVEL; ICE</t>
  </si>
  <si>
    <t>The variability of steric height in the Nordic Seas is analyzed on seasonal, interannual, and decadal timescales using a comprehensive data set of temperature and salinity observations for the second half of the twentieth century. Results from a regional Ocean General Circulation Model (OGCM) are used to assess the reliability of the averaging and the temporal interpolation of the inhomogeneous distributed observation data. The annual cycle explains only a minor part of the monthly variability for most of the region. The analysis on interannual to decadal timescales confined to the Norwegian Sea displays a clear rising trend starting at the end of the 1960s with particularly strong changes along the Barents Sea opening (6 to 7 cm). Moreover, a general freshening is found for the entire Norwegian Sea. In addition, a north-south dipole of the thermal component of the steric height variability is identified. This dipole elevates the general rising trend along the Barents Sea opening and reduces it in the southern Norwegian Sea. The bulk of the interannual variability in steric height is governed by variations in the local meridional wind stress that determine the relative distribution of Atlantic and Arctic waters in the Norwegian Sea. In addition, reduced heat loss to the atmosphere strongly correlates with the North Atlantic Oscillation winter index. This, in turn, may in particular explain the large steric height increase found at the Barents Sea opening.</t>
  </si>
  <si>
    <t>[Siegismund, F.; Johannessen, J.; Drange, H.] Nansen Environm &amp; Remote Sensing Ctr, N-5006 Bergen, Norway; [Korablev, A.] Arctic &amp; Antarctic Res Inst, St Petersburg 199226, Russia; [Mork, K. A.] Bjerknes Ctr Climate Res, N-5007 Bergen, Norway; [Johannessen, J.; Drange, H.] Univ Bergen, Inst Geophys, N-5020 Bergen, Norway; [Drange, H.] Univ Bergen, Inst Geophys, N-5020 Bergen, Norway; [Drange, H.] Chinese Acad Sci, NansenZhu Int Res Ctr, Inst Atmospher Phys, Beijing, Peoples R China; [Mork, K. A.] Inst Marine Res, Bergen, Norway</t>
  </si>
  <si>
    <t>Nansen Environmental &amp; Remote Sensing Center (NERSC); Arctic &amp; Antarctic Research Institute; Bjerknes Centre for Climate Research; University of Bergen; University of Bergen; Chinese Academy of Sciences; Institute of Atmospheric Physics, CAS; Institute of Marine Research - Norway</t>
  </si>
  <si>
    <t>Johannessen, J (corresponding author), Nansen Environm &amp; Remote Sensing Ctr, Thormohlensgate 47, N-5006 Bergen, Norway.</t>
  </si>
  <si>
    <t>frank.siegismund@nersc.no</t>
  </si>
  <si>
    <t>Korablev, Alexander/0000-0002-1435-2969</t>
  </si>
  <si>
    <t>DEC 19</t>
  </si>
  <si>
    <t>C12010</t>
  </si>
  <si>
    <t>10.1029/2007JC004221</t>
  </si>
  <si>
    <t>244QJ</t>
  </si>
  <si>
    <t>WOS:000251880100002</t>
  </si>
  <si>
    <t>Benedetti, M; Martuccio, G; Fattorini, D; Canapa, A; Barucca, M; Nigro, M; Regoli, F</t>
  </si>
  <si>
    <t>Benedetti, Maura; Martuccio, Giacomo; Fattorini, Daniele; Canapa, Adriana; Barucca, Marco; Nigro, Marco; Regoli, Francesco</t>
  </si>
  <si>
    <t>Oxidative and modulatory effects of trace metals on metabolism of polycyclic aromatic hydrocarbons in the Antarctic fish Trematomus bernacchiile</t>
  </si>
  <si>
    <t>AQUATIC TOXICOLOGY</t>
  </si>
  <si>
    <t>trace metals; polycyclic aromatic hydrocarbons; interactions; bioaccumulation; Cytochrome P450; oxidative stress; Antarctica; Trematomus bernacchii</t>
  </si>
  <si>
    <t>BASS DICENTRARCHUS-LABRAX; EEL ANGUILLA-ANGUILLA; GENE-EXPRESSION; MESSENGER-RNA; MYTILUS-GALLOPROVINCIALIS; OXYRADICAL METABOLISM; SCAVENGING CAPACITY; INDUCED INHIBITION; DOWN-REGULATION; DNA INTEGRITY</t>
  </si>
  <si>
    <t>Biological interactions between various classes of pollutants are of great relevance for the Antarctic marine environment, where the naturally elevated bioavailability of metals like cadmium might indirectly influence sensitivity of endemic organisms toward other environmental pollutants, e.g. polycyclic aromatic hydrocarbons (PAHs). To further investigate reciprocal effects of different chemicals, the fish Trematomus bernacchii was exposed to trace metals (Cd, Cu, Hg, Ni, Ph) and benzo[a]pyrene (BaP, as a model PAH), dosed alone and in combinations. Co-exposures revealed that BaP did not influence the accumulation of metals, while these elements caused significant changes on tissue levels of the PAR The marked EROD induction caused by BaP was completely suppressed by co-exposure with Cd and Cu, but no effects were observed with Ni, Hg and Pb. Similar results were confirmed at the protein level by Western blot analyses while CYP1A1 mRNA levels were reduced only during Cd co-exposures. Clear evidence of oxidative perturbations was observed in fish co-treated with Cd and BaP and the reduced capability to absorb peroxyl and hydroxyl radicals suggested some oxidative pathways by which this element might indirectly modulate the biotransformation efficiency of Cytochrome P450. Partly different and post-transcriptional mechanisms of action could be hypothesized for Cu, while moderate oxidative effects of Hg, Ni and Ph during co-exposures would confirm their limited influence on metabolism of PAHs. In general, the overall results revealed a complex pathway of interactions between different chemicals during co-exposures and the importance of oxidative status in modulating induction and expression of CYP1A1. (c) 2007 Elsevier B.V. All rights reserved.</t>
  </si>
  <si>
    <t>[Benedetti, Maura; Martuccio, Giacomo; Fattorini, Daniele; Canapa, Adriana; Barucca, Marco; Regoli, Francesco] Univ Politecn Marche, Ist Biol &amp; Genet, I-60100 Ancona, Italy; [Nigro, Marco] Univ Pisa, Dipartimento Morfol Umana &amp; Biol Applicata, I-56100 Pisa, Italy</t>
  </si>
  <si>
    <t>Marche Polytechnic University; University of Pisa</t>
  </si>
  <si>
    <t>Regoli, F (corresponding author), Univ Politecn Marche, Ist Biol &amp; Genet, Via Ranieri Monte Ago, I-60100 Ancona, Italy.</t>
  </si>
  <si>
    <t>f.regoli@univpm.it</t>
  </si>
  <si>
    <t>freire, fernanda/AAX-1814-2021; Fattorini, Daniele/A-2969-2010; Benedetti, Maura/K-5399-2016; Regoli, Francesco/K-2719-2018</t>
  </si>
  <si>
    <t>Fattorini, Daniele/0000-0002-5847-4722; Benedetti, Maura/0000-0003-0803-3846; Regoli, Francesco/0000-0001-6084-6188</t>
  </si>
  <si>
    <t>0166-445X</t>
  </si>
  <si>
    <t>AQUAT TOXICOL</t>
  </si>
  <si>
    <t>Aquat. Toxicol.</t>
  </si>
  <si>
    <t>DEC 15</t>
  </si>
  <si>
    <t>10.1016/j.aquatox.2007.08.009</t>
  </si>
  <si>
    <t>Marine &amp; Freshwater Biology; Toxicology</t>
  </si>
  <si>
    <t>241EG</t>
  </si>
  <si>
    <t>WOS:000251639100001</t>
  </si>
  <si>
    <t>Veevers, JJ; Saeed, A</t>
  </si>
  <si>
    <t>Veevers, J. J.; Saeed, A.</t>
  </si>
  <si>
    <t>Central Antarctic provenance of Permian sandstones in Dronning Maud Land and the Karoo Basin:: Integration of U-Pb and TDM ages and host-rock affinity from detrital zircons</t>
  </si>
  <si>
    <t>SEDIMENTARY GEOLOGY</t>
  </si>
  <si>
    <t>U-Pb ages; Hf-isotopes; Early Permian sandstone; Karoo Basin; Dronning Maud Land; Central Antarctic provenance</t>
  </si>
  <si>
    <t>NATAL METAMORPHIC PROVINCE; ELLSWORTH-WHITMORE MOUNTAINS; HF ISOTOPE GEOCHEMISTRY; CAPE-MEREDITH COMPLEX; EAST ANTARCTICA; GRENVILLE-AGE; SOUTH-AFRICA; TECTONIC EVOLUTION; PALEOMAGNETIC DATA; SHACKLETON RANGE</t>
  </si>
  <si>
    <t>In conjugate SE Africa and Antarctica, Early Permian sandstones of the Swartrant Formation of the Ellisras Basin, Vryheid Formation of the Karoo Basin, and Amelang Plateau Formation of Dronning Maud Land (DML) were deposited after Gondwanan glaciation on a westward paleoslope. We analysed detrital zircons for U-Pb ages by a laser ablation microprobe-inductively coupled plasma mass spectrometer (LAM-ICPMS) and attached age significance only to clusters of three or more overlapping analyses. We analysed Hf-isotope compositions by a multi-collector spectrometer (LAM-MC-ICPMS) and trace elements by electron microprobe (EMP) and ICPMS. These analyses indicate the rock type and source (whether crustal or juvenile mantle) of the host magma, and a crustal model age (T-DM(C)). The integrated analysis gives a more distinctive, and more easily interpreted, picture of crustal evolution in the provenance area than age data alone. Zircons from the Ellisras Basin are aged 2700-2540 Ma with minor populations about 2815 Ma and 2040 Ma, which correspond with the ages of the upslope parts of the proximal Kaapvaal Craton and Limpopo Belt. Mafic rock is the dominant host rock, and it reflects the Archean granite-greenstone terrane of the Kaapvaal Craton. The three Karoo Basin samples and the two DML samples have zircons with these common properties: (1) 1160-880 Ma, host magma mafic granitoid (&lt; 65% SiO2) derived from juvenile depleted mantle sources (epsilon(Hf) positive) at 1.65 Ga and 1.35 Ga, with T-DM(C), of 2.0-0.9 Ga; (2) 760 to 480 Ma, host magma granitoid and low-heavy rare earth element rock (?alkaline rock-carbonatite), derived from mixed crustal and juvenile depleted mantle sources (epsilon(Hf) positive and negative) at 1.50 Ga and 1.35 Ga, with T-DM(C) of 2.0-0.9 Ga. Together with similar detrital zircons in Triassic sandstone of SE Australia, these properties reflect those in upslope central Antarctica, indicating a provenance of similar to 1000 Ma (Grenville) cratons embedded in 700-500 Ma (Pan-Gondwanaland) fold belts. Detrital zircons in Cambrian sediments of the Ellsworth-Whitmore Mountains block and Cambrian metasediments of the Welch Mountains with comparable properties suggest that the central Antarctic provenance operated also in the similar to 500 Ma Cambrian. (c) 2007 Elsevier B.V. All rights reserved.</t>
  </si>
  <si>
    <t>[Veevers, J. J.; Saeed, A.] Macquarie Univ, GEMOC ARC Natl Key Ctr, Dept Earth &amp; Planetary Sci, Sydney, NSW 2109, Australia</t>
  </si>
  <si>
    <t>Macquarie University</t>
  </si>
  <si>
    <t>Veevers, JJ (corresponding author), Macquarie Univ, GEMOC ARC Natl Key Ctr, Dept Earth &amp; Planetary Sci, Sydney, NSW 2109, Australia.</t>
  </si>
  <si>
    <t>john.veevers@mq.edu.au</t>
  </si>
  <si>
    <t>GAU, geochemist/H-1985-2016</t>
  </si>
  <si>
    <t>0037-0738</t>
  </si>
  <si>
    <t>1879-0968</t>
  </si>
  <si>
    <t>SEDIMENT GEOL</t>
  </si>
  <si>
    <t>Sediment. Geol.</t>
  </si>
  <si>
    <t>10.1016/j.sedgeo.2007.07.011</t>
  </si>
  <si>
    <t>245NQ</t>
  </si>
  <si>
    <t>WOS:000251942500004</t>
  </si>
  <si>
    <t>Edwards, HGM</t>
  </si>
  <si>
    <t>Edwards, Howell G. M.</t>
  </si>
  <si>
    <t>A novel extremophile strategy studied by Raman spectroscopy</t>
  </si>
  <si>
    <t>SPECTROCHIMICA ACTA PART A-MOLECULAR AND BIOMOLECULAR SPECTROSCOPY</t>
  </si>
  <si>
    <t>7th International Conference on Raman Spectroscopy Applied to Earth and Planetary Sciences (GEORAMAN 2006)</t>
  </si>
  <si>
    <t>JUN 04-07, 2006</t>
  </si>
  <si>
    <t>Almunecar, SPAIN</t>
  </si>
  <si>
    <t>Raman spectroscopy; lichen encrustation; wall-paintings; calcium oxalate; biodeterioration</t>
  </si>
  <si>
    <t>ANTARCTIC COLD DESERT; RENAISSANCE FRESCOES; EPILITHIC LICHENS; IN-SITU; MEDIEVAL FRESCOES; MARS; PIGMENTS; OXALATE; BIODETERIORATION; ENCRUSTATIONS</t>
  </si>
  <si>
    <t>A case is made for the classification of the colonisation by Dirina massiliensis forma sorediata of pigments on ancient wall-paintings as extremophilic behaviour. The lichen encrustations studied using FT-Raman spectroscopy have yielded important molecular information which has assisted in the identification of the survival strategy of the organism in the presence of significant levels of heavy metal toxins. The production of a carotenoid, probably astaxanthin, at the surface of the lichen thalli is identified from its characteristic biomolecular signatures in the Raman spectrum, whereas the presence of calcium oxalate dihydrate (weddellite) has been identified at both the upper and lower surfaces of the thalli and in core samples taken from depths of up to 10 mm through the encrustation into the rock substrate. The latter observation explains the significant disintegrative biodeteriorative effect of the colonisation upon the integrity of the wall-paintings and can be used to direct conservatorial and preservation efforts of the art work. A surprising result proved to be the absence of Raman spectroscopic evidence for the complexation of the metal pigments by the oxalic acid produced by the metabolic action of the organisms, unlike several cases that have been reported in the literature. (c) 2006 Elsevier B.V. All rights reserved.</t>
  </si>
  <si>
    <t>Univ Bradford, Sch Life Sci, Univ Analyt Ctr, Bradford BD7 1DP, W Yorkshire, England</t>
  </si>
  <si>
    <t>Edwards, HGM (corresponding author), Univ Bradford, Sch Life Sci, Univ Analyt Ctr, Bradford BD7 1DP, W Yorkshire, England.</t>
  </si>
  <si>
    <t>1386-1425</t>
  </si>
  <si>
    <t>SPECTROCHIM ACTA A</t>
  </si>
  <si>
    <t>Spectroc. Acta Pt. A-Molec. Biomolec. Spectr.</t>
  </si>
  <si>
    <t>10.1016/j.saa.2006.11.029</t>
  </si>
  <si>
    <t>Spectroscopy</t>
  </si>
  <si>
    <t>242ST</t>
  </si>
  <si>
    <t>WOS:000251747000018</t>
  </si>
  <si>
    <t>Baltar, F; Arístegui, J; Gasol, JM; Hernández-León, S; Herndl, GJ</t>
  </si>
  <si>
    <t>Baltar, Federico; Aristegui, Javier; Gasol, Josep M.; Hernandez-Leon, Santiago; Herndl, Gerhard J.</t>
  </si>
  <si>
    <t>Strong coast-ocean and surface-depth gradients in prokaryotic assemblage structure and activity in a coastal transition zone region</t>
  </si>
  <si>
    <t>archaea; bacteria; assemblage structure; activity; deep ocean; CARD-FISH</t>
  </si>
  <si>
    <t>CATALYZED REPORTER DEPOSITION; MARINE PLANKTONIC ARCHAEA; IN-SITU HYBRIDIZATION; NORTH-ATLANTIC; BACTERIOPLANKTON COMMUNITIES; VERTICAL-DISTRIBUTION; MESOPELAGIC ZONE; STANDING STOCKS; FLOW-CYTOMETRY; WATER MASSES</t>
  </si>
  <si>
    <t>The distribution of marine Crenarchaeota Group 1, marine Euryarchaeota Group II and some major groups of Bacteria (SAR 11, Roseobacter, Gammaproteobacteria and Bacteroidetes) was investigated in the North Atlantic water column (surface to 2000 m depth) along a transect from the coastal waters of the NW African upwelling to the offshore waters of the Canary Coastal Transition Zone (CTZ). Catalyzed reporter deposition-fluorescence in situ hybridization (CARD-FISH) was used to describe the prokaryotic assemblages. Bulk picoplankton abundance and leucine incorporation were determined. Pronounced changes in prokaryotic assemblage composition were observed from the coast to the open ocean and at the deep chlorophyll maximum (DCM) with decreasing bulk heterotrophic activity. All bacterial groups decreased in absolute abundances from the coast to the open ocean; both archaeal groups increased towards the open ocean. Prokaryotic abundance and activity decreased 2 and 3 orders of magnitude, respectively, from the surface to 2000 m. Prokaryotic growth rates were high in the mesopelagic zone (similar to 0.13 d(-)1), compared to other reports from the central North Atlantic. SARI 1 in total picoplankton abundance decreased from 42 % in the DCM to 4 % at 2000 m, while marine Crenarchaeota Group I increased from 1 % in the DCM to 39 % in the oxygen minimum layer. A clear influence of the different intermediate water masses was observed on the bulk heterotrophic picoplankton activity, with lower leucine incorporation rates corresponding to layers where patches of Antarctic Intermediate Water were detected. Coast-ocean and surface-depth gradients in bulk prokaryotic abundance and production and assemblage composition were comparable to changes observed in basin-scale studies, pinpointing the CTZs as regions of strong variability in microbial diversity and metabolism.</t>
  </si>
  <si>
    <t>[Baltar, Federico; Aristegui, Javier; Hernandez-Leon, Santiago] Univ Las Palmas Gran Canaria, Fac Ciencias Mar, Las Palmas Gran Canaria 35017, Spain; [Gasol, Josep M.] CSIC, Inst Ciencias Mar, Dept Biol Marina &amp; Oceangrafia, E-08003 Barcelona, Spain; [Herndl, Gerhard J.] Royal Netherlands Inst Sea Res NIOZ, Dept Biol Oceanog, NL-1790 AB Den Burg, Netherlands</t>
  </si>
  <si>
    <t>Universidad de Las Palmas de Gran Canaria; Consejo Superior de Investigaciones Cientificas (CSIC); CSIC - Centro Mediterraneo de Investigaciones Marinas y Ambientales (CMIMA); CSIC - Instituto de Ciencias del Mar (ICM); Utrecht University; Royal Netherlands Institute for Sea Research (NIOZ)</t>
  </si>
  <si>
    <t>Baltar, F (corresponding author), Univ Las Palmas Gran Canaria, Fac Ciencias Mar, Campus Univ Tafira, Las Palmas Gran Canaria 35017, Spain.</t>
  </si>
  <si>
    <t>federico.baltar102@doctorandos.ulpgc.es</t>
  </si>
  <si>
    <t>Arístegui, Javier/D-5833-2013; Hernández-León, Santiago/M-2563-2014; Herndl, Gerhard J./S-3011-2019; Herndl, Gerhard J./B-1513-2013; Baltar, Federico/C-3260-2012; Baltar, Federico/Q-6303-2019; Gasol, Josep M/B-1709-2008</t>
  </si>
  <si>
    <t>Arístegui, Javier/0000-0002-7526-7741; Herndl, Gerhard J./0000-0002-2223-2852; Baltar, Federico/0000-0001-8907-1494; Baltar, Federico/0000-0001-8907-1494; Hernandez-Leon, Santiago/0000-0002-3085-4969; Gasol, Josep M/0000-0001-5238-2387</t>
  </si>
  <si>
    <t>DEC 12</t>
  </si>
  <si>
    <t>10.3354/ame01156</t>
  </si>
  <si>
    <t>252WR</t>
  </si>
  <si>
    <t>WOS:000252478500006</t>
  </si>
  <si>
    <t>Speich, S; Blanke, B; Cai, WJ</t>
  </si>
  <si>
    <t>Speich, Sabrina; Blanke, Bruno; Cai, Wenju</t>
  </si>
  <si>
    <t>Atlantic meridional overturning circulation and the Southern Hemisphere supergyre</t>
  </si>
  <si>
    <t>ANTARCTIC CIRCUMPOLAR CURRENT; INDIAN-OCEAN; INTERMEDIATE WATER; THERMOHALINE CIRCULATION; PACIFIC OCEANS; CONVEYOR BELT; MODEL; TRANSPORT; TRACERS</t>
  </si>
  <si>
    <t>The ocean's role in climate manifests itself through its high heat capacity, its own rich internal dynamics and its ability to transport vast quantities of heat and freshwater. Of particular interest is the global ocean circulation associated with the Atlantic meridional overturning (AMOC). Because observations are sparse, the detailed global structure of the AMOC remains poorly understood, particularly the pathways along which water returns to the Atlantic to compensate the export of North Atlantic Deep Water (NADW). Here we provide the first quantitative 3-dimensional global view of the AMOC using a Lagrangian reconstruction which integrates hundred of thousands water particle trajectories in an ocean model. The resulting pattern elucidates the role of the wind in structuring the pathways of the AMOC. In particular, the Lagrangian analysis reveals a strong link with the three subtropical gyres of the southern hemisphere (SH), which merge into a supergyre'' spanning the three ocean basins. The coupling between the upper ocean wind-driven circulation and the overturning in the model suggests that changes in the SH winds can alter the pathways of the AMOC, and therefore the water properties and the associated heat and freshwater transports.</t>
  </si>
  <si>
    <t>[Speich, Sabrina] UFR Sci &amp; Tech, Lab Phys Oceans, UMR CNRS 6523, IFREMER,UBO, F-29238 Brest 3, France; [Cai, Wenju] CSIRO Marine &amp; Atmospher Res, Aspendale, Vic 3195, Australia</t>
  </si>
  <si>
    <t>Universite de Bretagne Occidentale; Centre National de la Recherche Scientifique (CNRS); Ifremer; Institut de Recherche pour le Developpement (IRD); Commonwealth Scientific &amp; Industrial Research Organisation (CSIRO)</t>
  </si>
  <si>
    <t>Speich, S (corresponding author), IRD, Ctr Bretagne, Inst Rech Dev, Campus Ifremer,Technopole Brest Iroise,Site Point, F-29280 Plouzane, France.</t>
  </si>
  <si>
    <t>speich@univ-brest.fr</t>
  </si>
  <si>
    <t>Blanke, Buno/A-3724-2010; Cai, Wenju/C-2864-2012; Speich, Sabrina/L-3780-2014; Blanke, Bruno/H-4280-2015</t>
  </si>
  <si>
    <t>Cai, Wenju/0000-0001-6520-0829; Speich, Sabrina/0000-0002-5452-8287; Blanke, Bruno/0000-0002-1309-0952</t>
  </si>
  <si>
    <t>L23614</t>
  </si>
  <si>
    <t>10.1029/2007GL031583</t>
  </si>
  <si>
    <t>241XV</t>
  </si>
  <si>
    <t>WOS:000251690000001</t>
  </si>
  <si>
    <t>Dixler, E</t>
  </si>
  <si>
    <t>Dixler, Elsa</t>
  </si>
  <si>
    <t>Scott of the Antarctic: A life of courage and tragedy</t>
  </si>
  <si>
    <t>NEW YORK TIMES BOOK REVIEW</t>
  </si>
  <si>
    <t>NEW YORK TIMES</t>
  </si>
  <si>
    <t>620 8TH AVE, NEW YORK, NY 10018 USA</t>
  </si>
  <si>
    <t>0028-7806</t>
  </si>
  <si>
    <t>NY TIMES BK REV</t>
  </si>
  <si>
    <t>N. Y. Times Book Rev.</t>
  </si>
  <si>
    <t>DEC 9</t>
  </si>
  <si>
    <t>Humanities, Multidisciplinary</t>
  </si>
  <si>
    <t>Arts &amp; Humanities - Other Topics</t>
  </si>
  <si>
    <t>241HA</t>
  </si>
  <si>
    <t>WOS:000251646300033</t>
  </si>
  <si>
    <t>Seppälä, A; Clilverd, MA; Rodger, CJ</t>
  </si>
  <si>
    <t>Seppala, Annika; Clilverd, Mark A.; Rodger, Craig J.</t>
  </si>
  <si>
    <t>NOx enhancements in the middle atmosphere during 2003-2004 polar winter:: Relative significance of solar proton events and the aurora as a source</t>
  </si>
  <si>
    <t>THERMOSPHERE; VALIDATION</t>
  </si>
  <si>
    <t>In this study we combine odd nitrogen (NOx) observations from the GOMOS and POAM III instruments with a radio wave ionization index to provide a detailed description of the generation and descent of polar NOx into the upper stratosphere during the Northern Hemisphere winter of 2003-2004. The measurements are used to study the relative contributions of ionization due to solar proton events, energetic electron precipitation, and low-energy (1-10 keV) electron precipitation on NOx production, and its subsequent downward transport to the upper stratosphere. We show that NOx generated from the large solar proton storm in October/November 2003 was transported into the upper stratosphere in agreement with model calculations, but that aurorally generated NOx also descended later in the winter. Both periods were highly significant and produced large long-lived decreases in stratospheric ozone once it arrived at those altitudes. The observations made by GOMOS deep into the nighttime polar vortex are critical in differentiating between the stratospheric effects of these two events.</t>
  </si>
  <si>
    <t>Finnish Meteorol Inst, Earth Observ, FIN-00101 Helsinki, Finland; British Antarctic Survey, Div Phys Sci, Cambridge CB3 0ET, England; Univ Otago, Dept Phys, Dunedin, New Zealand</t>
  </si>
  <si>
    <t>Finnish Meteorological Institute; UK Research &amp; Innovation (UKRI); Natural Environment Research Council (NERC); NERC British Antarctic Survey; University of Otago</t>
  </si>
  <si>
    <t>Seppälä, A (corresponding author), Finnish Meteorol Inst, Earth Observ, FIN-00101 Helsinki, Finland.</t>
  </si>
  <si>
    <t>Rodger, Craig/A-1501-2011; Seppälä, Annika/C-8031-2014</t>
  </si>
  <si>
    <t>Seppälä, Annika/0000-0002-5028-8220; Rodger, Craig J./0000-0002-6770-2707</t>
  </si>
  <si>
    <t>DEC 8</t>
  </si>
  <si>
    <t>D23</t>
  </si>
  <si>
    <t>D23303</t>
  </si>
  <si>
    <t>10.1029/2006JD008326</t>
  </si>
  <si>
    <t>239NS</t>
  </si>
  <si>
    <t>WOS:000251525600002</t>
  </si>
  <si>
    <t>Clilverd, MA; Rodger, CJ; Millan, RM; Sample, JG; Kokorowski, M; McCarthy, MP; Ulich, T; Raita, T; Kavanagh, AJ; Spanswick, E</t>
  </si>
  <si>
    <t>Clilverd, Mark A.; Rodger, Craig J.; Millan, Robyn M.; Sample, John G.; Kokorowski, Michael; McCarthy, Michael P.; Ulich, Thomas; Raita, Tero; Kavanagh, Andrew J.; Spanswick, Emma</t>
  </si>
  <si>
    <t>Energetic particle precipitation into the middle atmosphere triggered by a coronal mass ejection</t>
  </si>
  <si>
    <t>ELECTRON; WAVES; SCATTERING; RIOMETER; STORMS; FIELD</t>
  </si>
  <si>
    <t>Precipitation of relativistic electrons into the atmosphere has been suggested as the primary loss mechanism for radiation belt electrons during large geomagnetic storms. Here we investigate the geographical spread of precipitation as a result of the arrival of a coronal mass ejection (CME) on 21 January 2005. In contrast to previous statistical studies we provide one of the first attempts to describe the geographic and temporal variability of energetic particle precipitation on a global scale using an array of instruments. We combine data from subionospheric VLF radio wave receivers, the high-altitude Miniature Spectrometer (MINIS) balloons, riometers, and pulsation magnetometers during the first hour of the event. There were three distinct types of energetic electron precipitation observed, one globally, one on the dayside, and one on the nightside. The most extensively observed form of precipitation was a large burst starting when the CME arrived at the Earth, where electrons from the outer radiation belt were lost to the atmosphere over a large region of the Earth. On the dayside of the Earth (10-15 MLT) the CME produced a further series of precipitation bursts, while on the nightside dusk sector (similar to 20 MLT) a continuous precipitation event lasting similar to 50 min was observed at 2.5 &lt; L &lt; 3.7 along with Pc 1-2 pulsations observed with a ground-based magnetometer. These observations suggest that the generation of energetic electron precipitation at the inner edge of the outer radiation belt from electromagnetic ion cyclotron (EMIC) wave scattering into the loss cone is the most direct evidence to date connecting EMIC activity and energetic precipitation.</t>
  </si>
  <si>
    <t>British Antarctic Survey, Div Phys Sci, Cambridge CB3 0ET, England; Univ Lancaster, Dept Commun Syst, Space Plasma Environm &amp; Radio Sci Grp, Lancaster LA1 4WA, England; Univ Washington, Dept Earth &amp; Space Sci, Seattle, WA 98195 USA; Dartmouth Coll, Dept Phys &amp; Astron, Hanover, NH 03755 USA; Oulu Univ, Observ Sodankyla Geophys, FIN-99600 Sodankyla, Finland; Univ Otago, Dept Phys, Dunedin, New Zealand; Univ Calif Berkeley, Dept Phys, Space Sci Lab, Berkeley, CA 94720 USA; Univ Calgary, Dept Phys &amp; Astron, Calgary, AB T2N 1N4, Canada</t>
  </si>
  <si>
    <t>UK Research &amp; Innovation (UKRI); Natural Environment Research Council (NERC); NERC British Antarctic Survey; Lancaster University; University of Washington; University of Washington Seattle; Dartmouth College; University of Oulu; University of Otago; University of California System; University of California Berkeley; University of Calgary</t>
  </si>
  <si>
    <t>Clilverd, MA (corresponding author), British Antarctic Survey, Div Phys Sci, Madingley Rd,High Cross, Cambridge CB3 0ET, England.</t>
  </si>
  <si>
    <t>macl@bas.ac.uk; crodger@physics.otago.ac.nz; robyn.millan@dartmouth.edu; jsample@ssl.berkeley.edu; mkoko@washington.edu; mccarthy@ess.washington.edu; thu@sgo.fi; tero.raita@sgo.fi; a.j.kavanagh@lancaster.ac.uk; emma@phys.ucalgary.ca</t>
  </si>
  <si>
    <t>Ulich, Thomas/G-3727-2018; Rodger, Craig/A-1501-2011; Spanswick, Emma/JDC-7880-2023</t>
  </si>
  <si>
    <t>Ulich, Thomas/0000-0001-8217-022X; Raita, Tero/0000-0002-0455-5746; Rodger, Craig J./0000-0002-6770-2707; Spanswick, Emma/0000-0001-8003-5091</t>
  </si>
  <si>
    <t>DEC 6</t>
  </si>
  <si>
    <t>A12206</t>
  </si>
  <si>
    <t>10.1029/2007JA012395</t>
  </si>
  <si>
    <t>239OW</t>
  </si>
  <si>
    <t>Green Accepted, Bronze</t>
  </si>
  <si>
    <t>WOS:000251528600003</t>
  </si>
  <si>
    <t>Salby, M; Matrosova, L</t>
  </si>
  <si>
    <t>Salby, Murry; Matrosova, L.</t>
  </si>
  <si>
    <t>Anomalous thermal structure introduced during solar proton events</t>
  </si>
  <si>
    <t>MIDDLE ATMOSPHERE</t>
  </si>
  <si>
    <t>Satellite observations by SABER provide a record of thermal structure during a population of Solar Proton Events (SPEs). Anomalous polar temperature composited from the population is statistically significant over the middle atmosphere and lower thermosphere. Having form similar over the Arctic and Antarctic, it reflects anomalous warming in the mesosphere and lower thermosphere, where anomalous temperature is of order 10 - 20 K, and anomalous cooling in the stratosphere, where it is a couple of Kelvin. The stratospheric signature is consistent with the radiative impact of reduced ozone during SPEs. As SPEs are prevalent during years near solar max but rare during years near solar min, the thermal response becomes a consideration for interannual changes.</t>
  </si>
  <si>
    <t>Univ Colorado, Boulder, CO 80309 USA</t>
  </si>
  <si>
    <t>University of Colorado System; University of Colorado Boulder</t>
  </si>
  <si>
    <t>Salby, M (corresponding author), Univ Colorado, Campus Box 311, Boulder, CO 80309 USA.</t>
  </si>
  <si>
    <t>mls@icarus.colorado.edu</t>
  </si>
  <si>
    <t>DEC 5</t>
  </si>
  <si>
    <t>L23702</t>
  </si>
  <si>
    <t>10.1029/2007GL029586</t>
  </si>
  <si>
    <t>239NI</t>
  </si>
  <si>
    <t>WOS:000251524600001</t>
  </si>
  <si>
    <t>Vuille, M; Milana, JP</t>
  </si>
  <si>
    <t>Vuille, Mathias; Milana, Juan-Pablo</t>
  </si>
  <si>
    <t>High-latitude forcing of regional aridification along the subtropical west coast of South America</t>
  </si>
  <si>
    <t>ANTARCTIC SEA-ICE; CENTRAL CHILE; RAINFALL VARIABILITY; ANNUAL PRECIPITATION; CIRCULATION; ARGENTINA; TRENDS; ANDES; SST</t>
  </si>
  <si>
    <t>Precipitation in north-central ( subtropical) Chile has been declining over the last 130 years. This is of concern in a region where precipitation is already low and which hosts considerable economic activity and a large population. Interannual variability of precipitation is primarily controlled by ENSO, but the reasons for the increasing aridity have remained elusive. Here we show that the negative trend in precipitation is not related to tropical Pacific forcing and that recent El Ni (n) over tildeo activity instead helped to alleviate the worst drought conditions. Based on data from 1979 - 2004 we further show that sea surface temperatures and sea-ice concentration in the Amundsen Sea and associated blocking activity in the Bellingshausen Sea are related to winter precipitation in subtropical Chile, independently of ENSO. High latitude forcing from the Amundsen Sea region may provide an alternative explanation for the observed secular drying trend.</t>
  </si>
  <si>
    <t>Univ Massachusetts, Morrill Sci Ctr, Dept Geosci, Amherst, MA 01003 USA; Univ Nacl San Juan, Consejo Nacl Invest Cient &amp; Tecn, RA-5401 San Juan, Argentina</t>
  </si>
  <si>
    <t>University of Massachusetts System; University of Massachusetts Amherst; Universidad Nacional de San Juan; Consejo Nacional de Investigaciones Cientificas y Tecnicas (CONICET)</t>
  </si>
  <si>
    <t>Vuille, M (corresponding author), Univ Massachusetts, Morrill Sci Ctr, Dept Geosci, 611 N Pleasant St, Amherst, MA 01003 USA.</t>
  </si>
  <si>
    <t>mathias@geo.umass.edu</t>
  </si>
  <si>
    <t>Vuille, Mathias/S-3906-2019; Vuille, Mathias/O-8128-2019</t>
  </si>
  <si>
    <t>Vuille, Mathias/0000-0002-9736-4518;</t>
  </si>
  <si>
    <t>Directorate For Geosciences; Division Of Earth Sciences [0836215] Funding Source: National Science Foundation</t>
  </si>
  <si>
    <t>Directorate For Geosciences; Division Of Earth Sciences(National Science Foundation (NSF)NSF - Directorate for Geosciences (GEO))</t>
  </si>
  <si>
    <t>L23703</t>
  </si>
  <si>
    <t>10.1029/2007GL031899</t>
  </si>
  <si>
    <t>WOS:000251524600009</t>
  </si>
  <si>
    <t>Esper, O; Zonneveld, KAF</t>
  </si>
  <si>
    <t>Esper, Oliver; Zonneveld, Karin A. F.</t>
  </si>
  <si>
    <t>The potential of organic-walled dinoflagellate cysts for the reconstruction of past sea-surface conditions in the Southern Ocean</t>
  </si>
  <si>
    <t>MARINE MICROPALEONTOLOGY</t>
  </si>
  <si>
    <t>Southern Ocean; Modern Analogue Technique; palaeotemperatures; Late Quaternary; dinoflagellates</t>
  </si>
  <si>
    <t>EASTERN ATLANTIC SECTOR; NORTHERN NORTH-ATLANTIC; LAST GLACIAL MAXIMUM; THERMOHALINE CIRCULATION; FALKLAND TROUGH; INDIAN SECTOR; ICE EXTENT; SEDIMENTS; TEMPERATURES; ASSEMBLAGES</t>
  </si>
  <si>
    <t>In this study we investigate the potential of organic-walled dinoflagellate cysts (dinocysts) as tools for quantifying past sea-surface temperatures (SST) in the Southern Ocean. For this purpose, a dinocyst reference dataset has been formed, based on 138 surface sediment samples from different circum-Antarctic environments. The dinocyst assemblages of these samples are composed of phototrophic (gonyaulacoid) and heterotrophic (protoperidinioid) species that provide a broad spectrum of palaeoenvironmental information. The relationship between the environmental parameters in the upper water column and the dinocyst distribution patterns of individual species has been established using the statistical method of Canonical Correspondence Analysis (CCA). Among the variables tested, summer SST appeared to correspond to the maximum variance represented in the dataset. To establish quantitative summer SST reconstructions, a Modem Analogue Technique (MAT) has been performed on data from three Late Quaternary dinocyst records recovered from locations adjacent to prominent oceanic fronts in the Atlantic sector of the Southern Ocean. These dinocyst time series exhibit periodic changes in the dinocyst assemblage during the last two glacial/ interglacial-cycles. During glacial conditions the relative abundance of protoperidinioid cysts was highest, whereas interglacial conditions are characterised by generally lower cyst concentrations and increased relative abundance of gonyaulacoid cysts. The MAT palaeotemperature estimates show trends in summer SST changes following the global oxygen isotope signal and a strong correlation with past temperatures of the last 140 000 years based on other proxies. However, by comparing the dinocyst results to quantitative estimates of summer SSTs based on diatoms, radiolarians and foraminifer-derived stable isotope records it can be shown that in several core intervals the dinocyst-based summer SSTs appeared to be extremely high. In these intervals the dinocyst record seems to be highly influenced by selective degradation, leading to unusual temperature ranges and to unrealistic palaeotemperatures. We used the selective degradation index (kt-index) to determine those intervals that have been biased by selective degradation in order to correct the palaeotemperature estimates. We show that after correction the dinocyst based SSTs correspond reasonably well with other palaeotemperature estimates for this region, supporting the great potential of dinoflagellate cysts as a basis for quantitative palaeoenvironmental studies. (c) 2007 Elsevier B.V. All rights reserved.</t>
  </si>
  <si>
    <t>[Esper, Oliver] Alfred Wegener Inst Polar &amp; Marine Res, D-27515 Bremerhaven, Germany; [Zonneveld, Karin A. F.] Univ Bremen, Dept Geosci, D-28334 Bremen, Germany</t>
  </si>
  <si>
    <t>Helmholtz Association; Alfred Wegener Institute, Helmholtz Centre for Polar &amp; Marine Research; University of Bremen</t>
  </si>
  <si>
    <t>Esper, O (corresponding author), Alfred Wegener Inst Polar &amp; Marine Res, PF 120161, D-27515 Bremerhaven, Germany.</t>
  </si>
  <si>
    <t>Oliver.Esper@awi.de; zonnev@uni-bremen.de</t>
  </si>
  <si>
    <t>Esper, Oliver/0000-0002-4342-3471</t>
  </si>
  <si>
    <t>0377-8398</t>
  </si>
  <si>
    <t>1872-6186</t>
  </si>
  <si>
    <t>MAR MICROPALEONTOL</t>
  </si>
  <si>
    <t>Mar. Micropaleontol.</t>
  </si>
  <si>
    <t>10.1016/j.marmicro.2007.07.002</t>
  </si>
  <si>
    <t>243GH</t>
  </si>
  <si>
    <t>WOS:000251783000004</t>
  </si>
  <si>
    <t>van de Berg, WJ; van den Broeke, MR; van Meijgaard, E</t>
  </si>
  <si>
    <t>van de Berg, W. J.; van den Broeke, M. R.; van Meijgaard, E.</t>
  </si>
  <si>
    <t>Heat budget of the East Antarctic lower atmosphere derived from a regional atmospheric climate model</t>
  </si>
  <si>
    <t>SURFACE WIND-FIELD; BOUNDARY-LAYER; ENERGY-BALANCE; ICE; SIMULATIONS; ROUGHNESS; MOMENTUM; PLATEAU; LAND</t>
  </si>
  <si>
    <t>The heat budget of the lower East Antarctic atmosphere is calculated using output from a regional atmospheric climate model. The climatology of this model compares well with observations, although the surface energy budget shows an underestimation of the downwelling longwave radiation and an overestimation of the sensible heat flux. The winter atmospheric boundary layer over Antarctica is characterized by a strong surface inversion, due to longwave cooling of the surface. The longwave radiation loss is balanced by heat extracted from the atmosphere by turbulent mixing, which in turn is compensated by large-scale horizontal and vertical heat advection. Above the boundary layer, net longwave cooling is balanced by subsidence. In the coastal margin, latent heat release from condensation is a significant heat budget component. In summer, the surface is near radiative balance, resulting in a weak surface inversion. As a result, cooling by turbulent mixing and heating by advection in the atmospheric boundary layer are largely reduced. Absorption of shortwave radiation is a small heating source throughout the atmosphere, reducing the importance of advection above the boundary layer. Net longwave cooling and heating by condensation remain unchanged compared to winter.</t>
  </si>
  <si>
    <t>Univ Utrecht, Inst Marine Atmospher Res Utrecht, Utrecht, Netherlands; Royal Dutch Meteorol Inst, De Bilt, Netherlands</t>
  </si>
  <si>
    <t>van de Berg, WJ (corresponding author), Univ Utrecht, Inst Marine Atmospher Res Utrecht, Utrecht, Netherlands.</t>
  </si>
  <si>
    <t>Van den Broeke, Michiel R./F-7867-2011; van de Berg, Willem Jan/H-4385-2011</t>
  </si>
  <si>
    <t>Van den Broeke, Michiel R./0000-0003-4662-7565; van de Berg, Willem Jan/0000-0002-8232-2040</t>
  </si>
  <si>
    <t>DEC 4</t>
  </si>
  <si>
    <t>D23101</t>
  </si>
  <si>
    <t>10.1029/2007JD008613</t>
  </si>
  <si>
    <t>239NQ</t>
  </si>
  <si>
    <t>WOS:000251525400002</t>
  </si>
  <si>
    <t>Smith, ND; Pol, D</t>
  </si>
  <si>
    <t>Smith, Nathan D.; Pol, Diego</t>
  </si>
  <si>
    <t>Anatomy of a basal sauropodomorph dinosaur from the Early Jurassic Hanson Formation of Antarctica</t>
  </si>
  <si>
    <t>ACTA PALAEONTOLOGICA POLONICA</t>
  </si>
  <si>
    <t>Dinosauria; Sauropodomorpha; Prosauropoda; phylogeny; paleobiogeography; Jurassic; Hanson formation; Antarctica</t>
  </si>
  <si>
    <t>TRANSANTARCTIC MOUNTAINS; PROSAUROPOD DINOSAUR; OSTEOLOGY; EVOLUTION; SKULL; MELANOROSAURUS; THEROPODA; YUNNAN; ELLIOT; YOUNG</t>
  </si>
  <si>
    <t>The anatomy of a basal sauropodomorph (Dinosauria: Saurischia) from the Early Jurassic Hanson Formation of Antarctica is described in detail. The material includes a distal left femur and an articulated right pes, including the astragalus, distal tarsals, and metatarsals I-IV. The material is referable to Sauropodomorpha and represents a non-eusauropod, sauropodomorph more derived than the most basal members of Sauropodomorpha (e.g., Saturnalia, Thecodontosaurus, Efraasia, and Plateosaurus) based on a combination of plesiomorphic and derived character states. Several autapomorphies present in both the femur and metatarsus suggest that this material represents a distinct sauropodomorph taxon, herein named Glacialisaurus hammeri gen. et sp. nov. Some of the derived characters present in the Antarctic taxon suggest affinities with Coloradisaurus and Lufengosaurus (e.g., proximolateral flange on plantar surface of metatarsal II, well-developed facet on metatarsal II for articulation with medial distal tarsal, subtrapezoidal proximal surface of metatarsal III). Preliminary phylogenetic analyses suggest a close relationship between the new Antarctic taxon and Lufengosaurus from the Early Jurassic Lufeng Formation of China. However, the lack of robust support for the taxon's phylogenetic position, and current debate in basal sauropodomorph phylogenetics limits phylogenetic and biogeographic inferences drawn from this analysis. The new taxon is important for establishing the Antarctic continent as pan of the geographic distribution of sauropodomorph dinosaurs in the Early Jurassic, and recently recovered material from the Han-son Formation that may represent a true sauropod, lends support to the notion that the earliest sauropods coexisted with their basal sauropodomorph relatives for an extended period of time.</t>
  </si>
  <si>
    <t>[Smith, Nathan D.] Univ Chicago, Comm Evolut Biol, Chicago, IL 60637 USA; [Smith, Nathan D.] Field Museum Nat Hist, Dept Geol, Chicago, IL 60605 USA; [Pol, Diego] Consejo Nacl Invest Cient &amp; Tecn, Museum Paleontol Egidio Feruglio, RA-9100 Trelew, Chubut, Argentina</t>
  </si>
  <si>
    <t>University of Chicago; Field Museum of Natural History (Chicago); Consejo Nacional de Investigaciones Cientificas y Tecnicas (CONICET)</t>
  </si>
  <si>
    <t>Smith, ND (corresponding author), Univ Chicago, Comm Evolut Biol, 1025 E 57th St,Culver St, Chicago, IL 60637 USA.</t>
  </si>
  <si>
    <t>smithnd@uchicago.edu; dpol@mef.org.ar</t>
  </si>
  <si>
    <t>Smith, Nathan John/JXY-5736-2024; Pol, Diego/A-8007-2008</t>
  </si>
  <si>
    <t>Smith, Nathan John/0009-0000-1982-8420; Pol, Diego/0000-0002-9690-7517; Smith, Nathan/0000-0001-5554-4994</t>
  </si>
  <si>
    <t>INST PALEOBIOLOGII PAN</t>
  </si>
  <si>
    <t>UL TWARDA 51/55, 00-818 WARSAW, POLAND</t>
  </si>
  <si>
    <t>0567-7920</t>
  </si>
  <si>
    <t>1732-2421</t>
  </si>
  <si>
    <t>ACTA PALAEONTOL POL</t>
  </si>
  <si>
    <t>Acta Palaeontol. Pol.</t>
  </si>
  <si>
    <t>DEC</t>
  </si>
  <si>
    <t>247HK</t>
  </si>
  <si>
    <t>WOS:000252068800001</t>
  </si>
  <si>
    <t>Evans, SR; Finnie, M; Manica, A</t>
  </si>
  <si>
    <t>Evans, S. R.; Finnie, M.; Manica, A.</t>
  </si>
  <si>
    <t>Shoaling preferences in decapod crustacea</t>
  </si>
  <si>
    <t>Crangon; grouping; Palaemon; prawn; shoaling; shrimp; size assortativeness; sociality</t>
  </si>
  <si>
    <t>ANTARCTIC KRILL; SOCIAL AGGREGATION; ONTOGENIC CHANGES; SIZE; BEHAVIOR; FISH; STICKLEBACKS; MECHANISMS; PREDATION; HABITAT</t>
  </si>
  <si>
    <t>The aggregation behaviour of fish has been extensively studied, but little is known about the shoaling of marine invertebrates. We investigated aggregation behaviour in two species of a decapod crustacean: the brown shrimp, Crangon crangon, a cryptic species that should not rely on aggregations to avoid predation, and the rockpool prawn, Palaemon elegans, a species that lives in areas without shelter and we expect to aggregate. A field survey revealed that prawns had a strongly clumped distribution, whereas shrimps only showed a tendency towards aggregating. However, size segregation was found to be strong in both species. Choice experiments in the laboratory confirmed the field results on the differences in the aggregative tendencies for the two species, as prawns showed a strong preference for shoaling with a group of five conspecifics versus a single conspecific, while shrimps only showed a trend in that direction. Surprisingly, we found no evidence for a size-assortative preference in prawns, suggesting that size segregation in the field might be a consequence of indirect or passive factors rather than individual preferences.</t>
  </si>
  <si>
    <t>[Evans, S. R.; Finnie, M.; Manica, A.] Univ Cambridge, Dept Zool, Cambridge CB2 3EJ, England</t>
  </si>
  <si>
    <t>University of Cambridge</t>
  </si>
  <si>
    <t>Evans, SR (corresponding author), Univ Cambridge, Dept Zool, Downing St, Cambridge CB2 3EJ, England.</t>
  </si>
  <si>
    <t>am315@cam.ac.uk</t>
  </si>
  <si>
    <t>Manica, Andrea/N-9013-2019; Evans, Simon/AAR-1221-2020</t>
  </si>
  <si>
    <t>Manica, Andrea/0000-0003-1895-450X; Evans, Simon/0000-0002-8227-5838; Evans, Simon/0000-0001-5812-4039</t>
  </si>
  <si>
    <t>ACADEMIC PRESS LTD- ELSEVIER SCIENCE LTD</t>
  </si>
  <si>
    <t>1095-8282</t>
  </si>
  <si>
    <t>10.1016/j.anbehav.2007.03.017</t>
  </si>
  <si>
    <t>246KZ</t>
  </si>
  <si>
    <t>WOS:000252007200011</t>
  </si>
  <si>
    <t>Stocchi, P; Spada, G</t>
  </si>
  <si>
    <t>Stocchi, Paolo; Spada, Giorgio</t>
  </si>
  <si>
    <t>Glacio and hydro-isostasy in the Mediterranean Sea: Clark's zones and role of remote ice sheets</t>
  </si>
  <si>
    <t>ANNALS OF GEOPHYSICS</t>
  </si>
  <si>
    <t>sea-level variations; glacial isostasy; Mediterranean Sea</t>
  </si>
  <si>
    <t>ANTARCTIC ICE; LEVEL CHANGES; LATE PLEISTOCENE; VERTICAL MOVEMENTS; HOLOCENE; COAST; DEGLACIATION; ISRAEL; MODEL; PREDICTIONS</t>
  </si>
  <si>
    <t>Solving the sea-level equation for a spherically symmetric Earth we study the relative sea-level curves in the Mediterranean Sea in terms of Clark's zones and we explore their sensitivity to the time-history of Late-Pleisocene-ocene ice aggregates. Since the Mediterranean is in intermediate field region with respect to the former ice sheets, glacio- and hydro-isostasy both contribute to sea-level variations throughout the Holocene. fit the bulk Of the basin, subsidence of the sea floor results in a monotonous sea-level rise, whereas along continental margins water loading produces the effect of &lt;&lt; contiental levering &gt;&gt;, which locally originates marked highstands followed by a sea-level fall. To describe such peculiar pattern of relative sea-level in this and other mid-latitude closed basins we introduce a new Clark's zone (namely, Clark's zone VII). Using a suite of publicly available ice sheet chronologies, we identify for the first the time a distinct sensitivity of predictions to the Antarctic ice sheet. In particular, we show that the history of mid to I-ate Holocene sea-level variations along the coasts of SE Tunisia may mainly reflect the melting of Antartica, by a consequence of a mutual cancellation of the effects from the Northern Hemisphere ice-sheets at this specific site. Ice models incorporating a delayed melting of Antarctica may account for the observations across the Mediterranean, but fail to reproduce the SE Tunisia highstand.</t>
  </si>
  <si>
    <t>[Stocchi, Paolo; Spada, Giorgio] Univ Urbino Carlo Bo, Ist Fis, I-61029 Urbino, PU, Italy; [Stocchi, Paolo] Delft Univ Technol, Delft, Netherlands</t>
  </si>
  <si>
    <t>University of Urbino; Delft University of Technology</t>
  </si>
  <si>
    <t>Spada, G (corresponding author), Univ Urbino Carlo Bo, Ist Fis, Via S Chiara 27, I-61029 Urbino, PU, Italy.</t>
  </si>
  <si>
    <t>giorgio.spada@gmail.com</t>
  </si>
  <si>
    <t>Spada, Giorgio/0000-0001-7615-4709; Stocchi, Paolo/0000-0002-1377-3817</t>
  </si>
  <si>
    <t>MIUR (Ministero dell'Universita dell'Istruzione e della Ricerca) [PRIN2006]</t>
  </si>
  <si>
    <t>MIUR (Ministero dell'Universita dell'Istruzione e della Ricerca)(Ministry of Education, Universities and Research (MIUR))</t>
  </si>
  <si>
    <t>We thank Fabrizio Antonioli for a constructive review and Maurizio Bonafede for suggestions and encouragement. Florence Colleoni, Kurt Lambeck, Jeffrey Donnelly, and Liviu Giosan are acknowledged for discussions and encouragement Anna Radi is acknowledged for help in the compilation of bibliography. PS has benefited from an exchange program at the Department of Geological Sciences of Brown University at Providence (RI), that we acknowledge for having provided Support and a stimulating environment useful for the preparation of this work. The code for solving the SLE (SELEN, see http://flocolleoni.free.fr/SELEN.html/) is freely available (Spada and Stocchi, 2007) and can be requested to GS (e-mail: giorgio.spada@gmail.com). The figures were drawn using the GMT public domain software (Wessel and Smith, 1998). Research funded by MIUR (Ministero dell'Universita dell'Istruzione e della Ricerca) by the PRIN2006 grant &lt;&lt; II ruolo del riaggiustamento isostatico postglaciale nelle variazioni del livello marino globale e mediterraneo: nuovi vincoli geofisici, geologici, ed archeologici &gt;&gt;.</t>
  </si>
  <si>
    <t>IST NAZIONALE DI GEOFISICA E VULCANOLOGIA</t>
  </si>
  <si>
    <t>ROME</t>
  </si>
  <si>
    <t>VIA VIGNA MURATA 605, ROME, 00143, ITALY</t>
  </si>
  <si>
    <t>1593-5213</t>
  </si>
  <si>
    <t>2037-416X</t>
  </si>
  <si>
    <t>ANN GEOPHYS-ITALY</t>
  </si>
  <si>
    <t>380CA</t>
  </si>
  <si>
    <t>WOS:000261442100004</t>
  </si>
  <si>
    <t>Dudeney, JR</t>
  </si>
  <si>
    <t>Dudeney, J. R.</t>
  </si>
  <si>
    <t>Science versus politics in judging consultative status</t>
  </si>
  <si>
    <t>ANTARCTIC SCIENCE</t>
  </si>
  <si>
    <t>0954-1020</t>
  </si>
  <si>
    <t>1365-2079</t>
  </si>
  <si>
    <t>ANTARCT SCI</t>
  </si>
  <si>
    <t>Antarct. Sci.</t>
  </si>
  <si>
    <t>10.1017/S0954102007000740</t>
  </si>
  <si>
    <t>Environmental Sciences; Geography, Physical; Geosciences, Multidisciplinary</t>
  </si>
  <si>
    <t>Environmental Sciences &amp; Ecology; Physical Geography; Geology</t>
  </si>
  <si>
    <t>243UV</t>
  </si>
  <si>
    <t>WOS:000251823700001</t>
  </si>
  <si>
    <t>Walton, DWH; van den Broeke, MR; Vaughan, APM</t>
  </si>
  <si>
    <t>Walton, D. W. H.; van den Broeke, M. R.; Vaughan, A. P. M.</t>
  </si>
  <si>
    <t>Message from the editors</t>
  </si>
  <si>
    <t>; van den Broeke, Michiel Roland/F-7867-2011</t>
  </si>
  <si>
    <t>Walton, David/0000-0002-7103-4043; van den Broeke, Michiel Roland/0000-0003-4662-7565</t>
  </si>
  <si>
    <t>WOS:000251823700002</t>
  </si>
  <si>
    <t>Walton, DWH</t>
  </si>
  <si>
    <t>Walton, D. W. H.</t>
  </si>
  <si>
    <t>WOS:000251823700003</t>
  </si>
  <si>
    <t>Griffin, BM; Tiedje, JM</t>
  </si>
  <si>
    <t>Griffin, Benjamin M.; Tiedje, James M.</t>
  </si>
  <si>
    <t>Microbial reductive dehalogenation in Antarctic melt pond sediments</t>
  </si>
  <si>
    <t>debromination; dechlorination; Ross Sea</t>
  </si>
  <si>
    <t>MCMURDO-ICE-SHELF; BRATINA ISLAND; SP NOV.; DECHLORINATION; TETRACHLOROETHENE; HYDROGEN</t>
  </si>
  <si>
    <t>Due to its geographic isolation and relatively limited human impact, Antarctica is a promising location to study the eco-physiology of natural halogen cycles. Anaerobic sediments from Antarctic melt ponds on Ross Island and on the McMurdo Ice Shelf near Bratina Island were tested for activity of microbial reductive dehalogenation. Anaerobic enrichment cultures were established with potential electron donors and tetrachloroethene, trichloroethene, 2-bromophenol, 2-chlorophenol, 3-bromobenzoate, or 3-chlorobenozoate, as model halocarbon electron acceptors. Dechlorination of aromatic compounds was limited, whereas 2-bromophenol was debrominated in seven of the eight sediments and one site also showed debromination of 3-bromobenzoate. A most probable number estimate with 2-bromophenol at one site revealed 10(3)-10(4) cultivatable debrominators per gram of sediment (wet weight). Chloroethene dechlorination was slow and primarily produced trichloroethene from tetrachloroethene, although both cis- and trans-dichloroethene were detected in certain enrichments upon extended incubation. These results demonstrate the presence of reductive dehalogenating activity in anaerobic, Antarctic melt-pond sediments and expand the known metabolic diversity of Antarctic microorganisms.</t>
  </si>
  <si>
    <t>[Griffin, Benjamin M.; Tiedje, James M.] Michigan State Univ, Ctr Microbial Ecol, Inst Environm Toxicol, Dept Microbiol &amp; Mol Genet, E Lansing, MI 48824 USA</t>
  </si>
  <si>
    <t>Michigan State University</t>
  </si>
  <si>
    <t>Tiedje, JM (corresponding author), Michigan State Univ, Ctr Microbial Ecol, Inst Environm Toxicol, Dept Microbiol &amp; Mol Genet, E Lansing, MI 48824 USA.</t>
  </si>
  <si>
    <t>tiedjej@msu.edu</t>
  </si>
  <si>
    <t>10.1017/S0954102007000570</t>
  </si>
  <si>
    <t>WOS:000251823700004</t>
  </si>
  <si>
    <t>Wagstaff, SJ; Hennion, F</t>
  </si>
  <si>
    <t>Wagstaff, Steven J.; Hennion, Franqse</t>
  </si>
  <si>
    <t>Evolution and biogeography of Lyallia and Hectorella (Portulacaceae), geographically isolated sisters from the Southern Hemisphere</t>
  </si>
  <si>
    <t>cushion plant; disjunct pairs; divergence times; Miocene; molecular phylogeny; sub-Antarctic</t>
  </si>
  <si>
    <t>KERGUELEN PHYTOGEOGRAPHIC ZONE; NEW-ZEALAND; MOLECULAR EVIDENCE; DIVERGENCE TIMES; SPECIAL EMPHASIS; CLIMATE-CHANGE; OCEAN ISLANDS; INDIAN-OCEAN; PLANT; PHYLOGENIES</t>
  </si>
  <si>
    <t>The Southern Hemisphere contains many monotypic taxa, for which phylogenetic relationships are important to illuminate biogeographical history. The monotypic genus Lyallia is endemic to the sub-Antarctic lies Kerguelen. A close relationship with another monotypic taxon, the New Zealand endemic Hectorella, was proposed. They share a dense cushion growth habit with small coriaceous leaves that lack stipules. The solitary flowers are bicarpellate with two sepals, 4-5 petals, 3-5 stamens and a bifid style. The fruit is an indehiscent capsule with 1-5 seeds. The flowers of Lyallia kerguelensis are hermaphroditic with four petals and three stamens whereas the flowers of Hectorella caespitosa are female, male or hermaphroditic, with five petals and five stamens. Lyallia kerguelensis is rare on Kerguelen, whereas Hectorella caespitosa is confined to the South Island of New Zealand. Our phylogenetic analysis of trnK/matK intergenic spacer and rbcL sequences provides evidence supporting a close relationship between Lyallia and Hectorella. The two species form a well-supported clade that is nested within the Portulacaceae. Divergence estimates suggest they shared a common ancestor during the late Tertiary long after the fragmentation of Gondwana. Such relationships underscore the importance of transoceanic dispersal and extinctions for plant evolution in the Southern Hemisphere.</t>
  </si>
  <si>
    <t>[Wagstaff, Steven J.] Allan Herbarium Landcare Res, Lincoln 7640, New Zealand; [Hennion, Franqse] Univ Rennes 1, CNRS, UMR Ecobio, F-35042 Rennes, France</t>
  </si>
  <si>
    <t>Landcare Research - New Zealand; Universite de Rennes; Centre National de la Recherche Scientifique (CNRS)</t>
  </si>
  <si>
    <t>Wagstaff, SJ (corresponding author), Allan Herbarium Landcare Res, PO Box 40, Lincoln 7640, New Zealand.</t>
  </si>
  <si>
    <t>wagstaffs@latidcareresearch.co.nz</t>
  </si>
  <si>
    <t>Hennion, Francoise/P-3356-2014; Wagstaff, Steven/E-3847-2014</t>
  </si>
  <si>
    <t>Wagstaff, Steven/0000-0002-9066-8869; Hennion, Francoise/0000-0001-5355-5614</t>
  </si>
  <si>
    <t>10.1017/S0954102007000648</t>
  </si>
  <si>
    <t>WOS:000251823700005</t>
  </si>
  <si>
    <t>Hunt, HW; Treonis, AM; Wall, DH; Virginia, RA</t>
  </si>
  <si>
    <t>Hunt, H. W.; Treonis, A. M.; Wall, D. H.; Virginia, R. A.</t>
  </si>
  <si>
    <t>A mathematical model for variation in water-retention curves among sandy soils</t>
  </si>
  <si>
    <t>Antarctic soils; biological activity; bulk density; soil texture; soil matric potential; soil water; water-release curve</t>
  </si>
  <si>
    <t>TAYLOR VALLEY; HYDRAULIC CONDUCTIVITY; CARBON-DIOXIDE; PARTICLE-SIZE; DRY VALLEYS; NEMATODES; BIODIVERSITY; ENVIRONMENT; SURVIVAL; DENSITY</t>
  </si>
  <si>
    <t>Equations were developed to predict soil matric potential as a function of soil water content, texture and bulk density in sandy soils. The equations were based on the additivity hypothesis - that water-retention of a whole soil depends on the proportions of several particle size fractions, each with fixed water-retention characteristics. The new model is an advancement over previously published models in that it embodies three basic properties of water-retention curves: a) matric potential is zero at saturation water content, b) matric potential approaches -infinity as water content approaches zero, and c) volumetric water content in dry soil is proportional to bulk density. Values of model parameters were taken from the literature, or estimated by fitting model predictions to data for sandy soils with low organic matter content. Most of the variation in water-release curves in the calibration data was explained by texture, with negligible effects of bulk density and sand particle size. The model predicted that variation in clay content among soils within the sand and loamy sand textural classes had substantial effects on water-retention curves. An understanding of how variation in texture among sandy soils contributes to matric potential is necessary for interpreting biological activity in and environments.</t>
  </si>
  <si>
    <t>[Hunt, H. W.] Colorado State Univ, Nat Resource Ecol Lab, Ft Collins, CO 80523 USA; [Treonis, A. M.] Univ Richmond, Dept Biol, Richmond, VA 23173 USA; [Wall, D. H.] Colorado State Univ, Nat Resource Ecol Lab, Dept Biol, Ft Collins, CO 80523 USA; [Virginia, R. A.] Dartmouth Coll, Environm Studies Program, Hanover, NH 03755 USA</t>
  </si>
  <si>
    <t>Colorado State University; University of Richmond; Colorado State University; Dartmouth College</t>
  </si>
  <si>
    <t>Hunt, HW (corresponding author), Colorado State Univ, Nat Resource Ecol Lab, Ft Collins, CO 80523 USA.</t>
  </si>
  <si>
    <t>billh@nrel.colostate.edu</t>
  </si>
  <si>
    <t>Office of Polar Programs (OPP); Directorate For Geosciences [0832755] Funding Source: National Science Foundation; Office of Polar Programs (OPP); Directorate For Geosciences [1041742] Funding Source: National Science Foundation</t>
  </si>
  <si>
    <t>Office of Polar Programs (OPP); Directorate For Geosciences(National Science Foundation (NSF)NSF - Directorate for Geosciences (GEO)); Office of Polar Programs (OPP); Directorate For Geosciences(National Science Foundation (NSF)NSF - Directorate for Geosciences (GEO))</t>
  </si>
  <si>
    <t>10.1017/S0954102007000703</t>
  </si>
  <si>
    <t>WOS:000251823700006</t>
  </si>
  <si>
    <t>Fredes, F; Raffo, E; Muñoz, P</t>
  </si>
  <si>
    <t>Fredes, Fernando; Raffo, Eduardo; Munoz, Pamela</t>
  </si>
  <si>
    <t>First report of Cryptosporidium spp. oocysts in stool of Adelie penguin from the Antarctic using acid-fast stain</t>
  </si>
  <si>
    <t>[Fredes, Fernando; Raffo, Eduardo; Munoz, Pamela] Univ Chile, Coll Vet Med, Dept Prevent Anim Med, Santiago 11735, Chile</t>
  </si>
  <si>
    <t>Fredes, F (corresponding author), Univ Chile, Coll Vet Med, Dept Prevent Anim Med, Santa Rosa Ave, Santiago 11735, Chile.</t>
  </si>
  <si>
    <t>ffredes@uchile.cl</t>
  </si>
  <si>
    <t>Fredes, Fernando/C-8739-2014</t>
  </si>
  <si>
    <t>Fredes, Fernando/0000-0001-6677-5165; Munoz, Pamela/0000-0001-6355-7074; Raffo, Eduardo/0000-0001-9218-0632</t>
  </si>
  <si>
    <t>10.1017/S0954102007000429</t>
  </si>
  <si>
    <t>WOS:000251823700007</t>
  </si>
  <si>
    <t>Lauriano, G; Vacchi, M; Ainley, D; Ballard, G</t>
  </si>
  <si>
    <t>Lauriano, Giancarlo; Vacchi, Marino; Ainley, David; Ballard, Grant</t>
  </si>
  <si>
    <t>Observations of top predators foraging on fish in the pack ice of the southern Ross Sea</t>
  </si>
  <si>
    <t>NOTOTHENIOID FISH; MCMURDO SOUND; ANTARCTICA; PENGUINS; FOOD; WATERS; SHELF; DIET</t>
  </si>
  <si>
    <t>[Lauriano, Giancarlo] Cent Inst Marine Res, I-00166 Rome, Italy; [Vacchi, Marino] Univ Genoa, Museo Nazl Antartide, ICRAM, I-16132 Genoa, Italy; [Ainley, David] HT Harvey &amp; Assoc, San Jose, CA 95118 USA; [Ballard, Grant] PRBO Conservat Sci, Bolinas, CA 94924 USA; [Ballard, Grant] Univ Auckland, Sch Biol Sci, Auckland 1, New Zealand</t>
  </si>
  <si>
    <t>University of Genoa; University of Auckland</t>
  </si>
  <si>
    <t>Lauriano, G (corresponding author), Cent Inst Marine Res, Via Casalotti, 300, I-00166 Rome, Italy.</t>
  </si>
  <si>
    <t>g.lauriano@icram.org</t>
  </si>
  <si>
    <t>Lauriano, Giancarlo/ABG-8461-2021</t>
  </si>
  <si>
    <t>lauriano, giancarlo/0000-0003-3465-6078</t>
  </si>
  <si>
    <t>10.1017/S0954102007000508</t>
  </si>
  <si>
    <t>WOS:000251823700008</t>
  </si>
  <si>
    <t>Ponganis, PJ; Stockard, TK</t>
  </si>
  <si>
    <t>Ponganis, P. J.; Stockard, T. K.</t>
  </si>
  <si>
    <t>The Antarctic toothfish: how common a prey for Weddell seals?</t>
  </si>
  <si>
    <t>MCMURDO SOUND; BEHAVIOR; DIET; FOOD; ICE</t>
  </si>
  <si>
    <t>[Ponganis, P. J.; Stockard, T. K.] Univ Calif San Diego, Scripps Inst Oceanog, Ctr Marine Biotechnol &amp; Biomed, La Jolla, CA 92093 USA</t>
  </si>
  <si>
    <t>University of California System; University of California San Diego; Scripps Institution of Oceanography</t>
  </si>
  <si>
    <t>Ponganis, PJ (corresponding author), Univ Calif San Diego, Scripps Inst Oceanog, Ctr Marine Biotechnol &amp; Biomed, La Jolla, CA 92093 USA.</t>
  </si>
  <si>
    <t>pponganis@ucsd.edu</t>
  </si>
  <si>
    <t>10.1017/S0954102007000715</t>
  </si>
  <si>
    <t>WOS:000251823700009</t>
  </si>
  <si>
    <t>Hedding, DW; Sumner, PD; Holness, SD; Meiklejohn, KI</t>
  </si>
  <si>
    <t>Hedding, David W.; Sumner, Paul D.; Holness, Stephen D.; Meiklejohn, K. Ian</t>
  </si>
  <si>
    <t>Formation of a pronival rampart on sub-Antarctic Marion Island</t>
  </si>
  <si>
    <t>climate change; protalus; retrogressive; snowbed; supranival</t>
  </si>
  <si>
    <t>PROTALUS RAMPARTS; SOUTHERN-NORWAY; CLIMATE-CHANGE; DEBRIS FLOWS; MARITIME; SNOW; ICE; ROMSDALSALPANE; SEDIMENTOLOGY; MORPHOLOGY</t>
  </si>
  <si>
    <t>The formation of a pronival (protalus) rampart on sub-Antarctic Marion Island is investigated. Morphological attributes show debris at the angle of repose on the rampart's proximal slope and at a lower angle on the distal slope. Relative-age dating, based on the percentage moss cover and weathering rind thickness of the elastic component, indicates accumulation mainly on the proximal slope and rampart crest, implying upslope (retrogressive) accumulation. This contrasts with a previously published model for pronival ramparts, which proposes rampart growth by addition of material to the distal slope. Development of the Marion Island rampart is suggested to result from the control exerted by a relatively low-angled surface and a shrinking snowbed. A small debris step formed on the proximal slope appears to be a response to decreased snowfalls due to changing climate over the last c. 50 years. Growth rate of the rampart is considered to be variable during the Holocene in response to changes in climate and debris supply.</t>
  </si>
  <si>
    <t>[Hedding, David W.] North West Univ, Dept Geog &amp; Environm Sci, ZA-2735 Mafeking, South Africa; [Sumner, Paul D.; Meiklejohn, K. Ian] Univ Pretoria, Dept Geog Geoinformat &amp; Metereol, ZA-0002 Pretoria, South Africa; [Holness, Stephen D.] South African Natl Pk Board, ZA-6013 Port Elizabeth, South Africa</t>
  </si>
  <si>
    <t>North West University - South Africa; University of Pretoria</t>
  </si>
  <si>
    <t>Hedding, DW (corresponding author), North West Univ, Dept Geog &amp; Environm Sci, ZA-2735 Mafeking, South Africa.</t>
  </si>
  <si>
    <t>david.hedding@nwu.ac.za</t>
  </si>
  <si>
    <t>Sumner, Paul D/J-4579-2012; Hedding, David William/F-3044-2011; Meiklejohn, Ian/F-3183-2012</t>
  </si>
  <si>
    <t>Hedding, David William/0000-0002-9748-4499; Meiklejohn, Ian/0000-0001-8890-2938; SUMNER, PAUL/0000-0002-0772-1500</t>
  </si>
  <si>
    <t>10.1017/S0954102007000582</t>
  </si>
  <si>
    <t>WOS:000251823700010</t>
  </si>
  <si>
    <t>Talarico, FM; Stump, E; Gootee, BF; Foland, KA; Palmeri, R; Van Schmus, WR; Brand, PK; Ricci, CA</t>
  </si>
  <si>
    <t>Talarico, F. M.; Stump, E.; Gootee, B. F.; Foland, K. A.; Palmeri, R.; Van Schmus, W. R.; Brand, P. K.; Ricci, C. A.</t>
  </si>
  <si>
    <t>First evidence of a Barrovian-type metamorphic regime in the Ross orogen of the Byrd Glacier area, central Transantarctic Mountains</t>
  </si>
  <si>
    <t>40Ar-39Ar dating; Antarctica; metamorphism; Selbome Group</t>
  </si>
  <si>
    <t>CA-AMPHIBOLE; EVOLUTION; ANTARCTICA; GEOLOGY; AGE; UNCERTAINTIES; GEOBAROMETRY; CONSTRAINTS; HISTORY; DATASET</t>
  </si>
  <si>
    <t>The Selbome Group comprises two metamorphic rock units, the muscovite dolomite bearing Madison Marble and the biotite-muscovite quartz-calcite Contortion Schist, which contains thick tenses of variably deformed metabasalts and metaconglomerates. Petrological and structural data indicate a polyphase metamorphic evolution including: i) an early stage of upper greenschist regional metamorphism (P = similar to 0.15-0.3 GPa; T = similar to 380-450 degrees C), ii) prograde metamorphism during D, up to amphibolite facies peak conditions (P = 0.58-0.8 GPa, T = similar to 560-645 degrees C), iii) syn-D-2 unloading-cooling retrograde metamorphism, iv) a post-D-2 contact metamorphic overprint at variable T between 450 and 550 degrees C and similar to 0.2 GPa connected to the emplacement of granitic plutons and felsic dyke swarms. Geochronological data constrain the polyphase syn-D-1/D-2 evolution between similar to 510 and 492 Ma. A similar metamorphic path, including a medium P stage but at lower T conditions, is documented in greenschist facies metabasalts within the Byrd Group in the Mount Dick area. The metamorphic pattern and close lithostratigraphic matching between Selbome Group and Byrd Group sharply contrast with the high-grade Homey Formation that is exposed north of the Byrd Glacier and corroborate the hypothesis that the Byrd Glacier discontinuity marks a first-order crustal tectonic boundary crossing the Ross orogen.</t>
  </si>
  <si>
    <t>[Talarico, F. M.; Ricci, C. A.] Univ Siena, Dipartimento Sci Terra, Via Laterina 8, I-53100 Siena, Italy; [Stump, E.; Gootee, B. F.; Brand, P. K.] Arizona State Univ, Dept Geol Sci, Tempe, AZ 85287 USA; [Foland, K. A.] Ohio State Univ, Dept Geol Sci, Columbus, OH 43210 USA; [Palmeri, R.; Ricci, C. A.] Univ Siena, Museo Nazl Antartide, Sez Sci Terra, I-53100 Siena, Italy; [Van Schmus, W. R.] Univ Kansas, Dept Geol, Lawrence, KS 66045 USA</t>
  </si>
  <si>
    <t>University of Siena; Arizona State University; Arizona State University-Tempe; University System of Ohio; Ohio State University; University of Siena; University of Kansas</t>
  </si>
  <si>
    <t>Talarico, FM (corresponding author), Univ Siena, Dipartimento Sci Terra, Via Laterina 8, I-53100 Siena, Italy.</t>
  </si>
  <si>
    <t>talarico@unisi.it</t>
  </si>
  <si>
    <t>; talarico, franco/G-9472-2012</t>
  </si>
  <si>
    <t>VanSchmus, William/0000-0003-1555-0403; talarico, franco/0000-0002-7254-4301</t>
  </si>
  <si>
    <t>10.1017/S0954102007000594</t>
  </si>
  <si>
    <t>WOS:000251823700011</t>
  </si>
  <si>
    <t>Cook, YA</t>
  </si>
  <si>
    <t>Cook, Y. A.</t>
  </si>
  <si>
    <t>Precambrian rift-related magmatism and sedimentation, south Victoria Land, Antarctica</t>
  </si>
  <si>
    <t>Baronick formation; bimodal volcanics; continental rifting; Highway suite</t>
  </si>
  <si>
    <t>SKELTON GLACIER AREA; TRANSANTARCTIC MOUNTAINS; SUPERCONTINENT BREAKUP; PENSACOLA MOUNTAINS; KOETTLITZ GROUP; TRACE-ELEMENT; GEOCHEMISTRY; PETROGENESIS; EAST; CONSTRAINTS</t>
  </si>
  <si>
    <t>Precambrian continental extension is described in detail for the first time in the Victoria Land segment of the Transantarctic Mountains and is comparable with plume related intercontinental rifting of the Afar area, Africa. The Baronick Formation comprises igneous-derived conglomerate, marble and volcanic to sub-volcanic igneous layers. Volcanic and carbonate horizons were eroded in a fluvial or marine environment and provided debris for mass flow and slump deposits which formed in a marginal marine basin in the Precambrian. Clasts in these deposits include basalt, trachyte and comendite, and along with the interbedded volcanic layers of basalt, trachyte and quartz syenite, indicate proximity and contemporaneity of volcanic activity. Igneous layers and source rocks for clasts of the Baronick Formation have an enriched MORB chemistry and underwent albitization of calcic feldspar before erosion and conglomerate deposition. The Highway Suite forms a kilometre-scale body of gabbro and dolerite plugs and is interpreted as a slice of transitional continental oceanic crust. The chemistry of all igneous rocks suggests a continental rift environment and the associated sediments are consistent with such a setting. The Baronick Formation was locally intruded by sills of the Highway Suite; however, the main body of the Highway Suite was juxtaposed against the Baronick Formation during greenschist facies shearing before c. 551 Ma.</t>
  </si>
  <si>
    <t>[Cook, Y. A.] Univ Otago, Dept Geol, Dunedin, New Zealand</t>
  </si>
  <si>
    <t>University of Otago</t>
  </si>
  <si>
    <t>Cook, YA (corresponding author), Univ Canterbury, Gateway Antarctica, Christchurch, New Zealand.</t>
  </si>
  <si>
    <t>yvonne.cook@canterbury.ac.nz</t>
  </si>
  <si>
    <t>10.1017/S0954102007000612</t>
  </si>
  <si>
    <t>WOS:000251823700012</t>
  </si>
  <si>
    <t>Shean, DE; Head, JW; Marchant, DR</t>
  </si>
  <si>
    <t>Shean, David E.; Head, James W., III; Marchant, David R.</t>
  </si>
  <si>
    <t>Shallow seismic surveys and ice thickness estimates of the Mullins Valley debris-covered glacier, McMurdo Dry Valleys, Antarctica</t>
  </si>
  <si>
    <t>Beacon Valley; ice flow model; permafrost; rock glacier; shallow seismic reflection</t>
  </si>
  <si>
    <t>SOUTHERN-VICTORIA-LAND; BEACON-VALLEY; ROCK GLACIERS; MIOCENE; MARS; ACCUMULATION; SUBLIMATION; ALASKA; MONS; TILL</t>
  </si>
  <si>
    <t>Several debris-covered glaciers occupy tributaries of upper Beacon Valley, Antarctica. Understanding their flow dynamics and ice thickness is important for palaeoclimate studies and for understanding the origins of ancient ice elsewhere in the McMurdo Dry Valleys region. We present the results of several shallow seismic surveys in Mullins Valley, where the largest of these debris-covered glaciers is located. Our results suggest that beneath a thin sublimation till and near-surface horizon of dirty glacier ice, lies relatively pure glacier ice (P-wave velocity similar to 3700-3800 m s(-1)), with total thickness estimates of similar to 90-95 m towards the valley head, and similar to 40-65 m near the entrance to Beacon Valley, similar to 2.5 km downglacier. P-wave velocities decrease downvalley, suggesting that the material properties of the ice change with increasing distance from the ice-accumulation zone. These new data are used to calibrate an ice thickness profile for the active portion of the Mullins Valley debris-covered glacier (upper similar to 3.5 km) and to shed light on the origin and spatial distribution of enclosed debris.</t>
  </si>
  <si>
    <t>[Shean, David E.; Head, James W., III] Brown Univ, Dept Geol Sci, Providence, RI 02912 USA; [Shean, David E.; Marchant, David R.] Boston Univ, Dept Earth Sci, Boston, MA 02215 USA</t>
  </si>
  <si>
    <t>Brown University; Boston University</t>
  </si>
  <si>
    <t>Shean, DE (corresponding author), Brown Univ, Dept Geol Sci, Box 1846, Providence, RI 02912 USA.</t>
  </si>
  <si>
    <t>David_Shean@alumni.brown.edu</t>
  </si>
  <si>
    <t>Shean, David/0000-0003-3840-3860</t>
  </si>
  <si>
    <t>10.1017/S0954102007000624</t>
  </si>
  <si>
    <t>WOS:000251823700013</t>
  </si>
  <si>
    <t>Hemer, MA; Post, AL; O'Brien, PE; Craven, M; Truswell, EM; Roberts, D; Harris, PT</t>
  </si>
  <si>
    <t>Hemer, M. A.; Post, A. L.; O'Brien, P. E.; Craven, M.; Truswell, E. M.; Roberts, D.; Harris, P. T.</t>
  </si>
  <si>
    <t>Sedimentological signatures of the sub-Amery Ice Shelf circulation</t>
  </si>
  <si>
    <t>Antarctica; baroclinic circulation; sediment; sub-ice shelf circulation</t>
  </si>
  <si>
    <t>PRYDZ BAY; OCEAN CIRCULATION; AGE CALIBRATION; GLACIAL HISTORY; EAST ANTARCTICA; BENEATH; SEDIMENTS; ADVANCE; FACIES; SHEET</t>
  </si>
  <si>
    <t>Two sediment cores collected from beneath the Amery Ice Shelf, East Antarctica describe the physical sedimentation patterns beneath an existing major embayed ice shelf. Core AM01b was collected from a site of basal freezing, contrasting with core AM02, collected from a site of basal melting. Both cores comprise Holocene siliceous muddy ooze (SMO), however, AM01b also recovered interbedded siliciclastic mud, sand and gravel with inclined bedding in its lower 27 cm. This interval indicates an episode of variable but strong current activity before SMO sedimentation became dominant. C-14 ages corrected for old surface ages are consistent with previous dating of marine sediments in Prydz Bay. However, the basal age of AM01b of 28250 230 C-14 yr BP probably results from greater contamination by recycled organic matter. Lithology, C-14 surface ages, absolute diatom abundance, and the diatom assemblage are used as indicators of sediment transport pathways beneath the ice shelf. The transport pathways suggested from these indicators do not correspond to previous models of the basal melt/freeze pattern. This indicates that the overturning baroclinic circulation beneath the Amery Ice Shelf (near-bed inflow-surface outflow) is a more important influence on basal melt/freeze and sediment distributions than the barotropic circulation that produces inflow in the east and outflow in the west of the ice front. Localized topographic (ice draft and bed elevation) variations are likely to play a dominant role in the resulting sub-ice shelf melt and sediment distribution.</t>
  </si>
  <si>
    <t>[Hemer, M. A.; Post, A. L.; O'Brien, P. E.; Harris, P. T.] Marine &amp; Coastal Environm Grp, Canberra, ACT 2601, Australia; [Craven, M.] Antarctic Climate &amp; Ecosyst Cooperat Res Ctr, Australian Antarctic Div, Hobart, Tas 7001, Australia; [Truswell, E. M.] Australian Natl Univ, Dept Earth &amp; Marine Sci, Canberra, ACT 2600, Australia; [Roberts, D.] Univ Tasmania, Inst Antarctic &amp; So Ocean Studies, Hobart, Tas 7001, Australia</t>
  </si>
  <si>
    <t>Australian Antarctic Division; Antarctic Climate &amp; Ecosystems Cooperative Research Centre (ACE CRC); Australian National University; University of Tasmania</t>
  </si>
  <si>
    <t>Hemer, MA (corresponding author), CSIRO Marine &amp; Atmospher Res, GPO Box 1538, Hobart, Tas 7001, Australia.</t>
  </si>
  <si>
    <t>mark.hemer@csiro.an</t>
  </si>
  <si>
    <t>Harris, Peter T/C-6997-2009; Harris, Peter/AAI-7100-2020; Hemer, Mark/M-1905-2013</t>
  </si>
  <si>
    <t>Truswell, Elizabeth/0000-0003-1848-6961; Post, Alexandra/0000-0002-6287-3283; Hemer, Mark/0000-0002-7725-3474; Roberts, Donna/0000-0001-6701-6662; O'Brien, Philip/0000-0003-3446-3292</t>
  </si>
  <si>
    <t>10.1017/S0954102007000697</t>
  </si>
  <si>
    <t>WOS:000251823700014</t>
  </si>
  <si>
    <t>Van As, D; Van Den Broeke, MR; Helsen, MM</t>
  </si>
  <si>
    <t>Van As, Dirk; Van Den Broeke, Michiel R.; Helsen, Michiel M.</t>
  </si>
  <si>
    <t>Strong-wind events and their impact on the near-surface climate at Kohnen Station on the Antarctic Plateau</t>
  </si>
  <si>
    <t>albedo; blocking highs; clouds; storm events; surface roughness length; temperature-deficit layer</t>
  </si>
  <si>
    <t>DRONNING MAUD LAND; SOUTHERN-HEMISPHERE; BOUNDARY-LAYER; ENERGY-BALANCE; DAILY CYCLE; ICE SHELF; SUMMER; BLOCKING; SNOW; PRECIPITATION</t>
  </si>
  <si>
    <t>Strong-wind events occur 10-20 times per year at Kohnen Station, East Antarctica (75 degrees 00'S, 0 degrees 04'E, 2892 m above sea level), and are often caused by warm-core cyclones in the north-eastern Weddell Sea. An uncommon event occurred in January 2002, when blocking both in the south Atlantic Ocean and in the south Tasman Sea caused a split-up of the circumpolar vortex, and large amounts of heat and moisture were transported onto the Antarctic Plateau. During strong-wind events over the plateau the near-surface temperature can increase by tens of degrees, which is partly caused by the advection of heat, but for an important part by the destruction of the stable temperature-deficit layer by enhanced vertical mixing. The temperature rise is larger during the winter/night than during the summer/day, due to a better-developed temperature deficit. Snowdrift during the January 2002 event linearly increased surface roughness for momentum with friction velocity, for values over about 0.18 m s(-1). The cloud cover during the event reduced down-welling solar radiation by 32%, and increased the albedo from about 0.86 to 0.92. Changes in longwave radiation largely cancelled the daytime changes in shortwave radiation, thus net radiation was most affected at night.</t>
  </si>
  <si>
    <t>[Van As, Dirk; Van Den Broeke, Michiel R.; Helsen, Michiel M.] Univ Utrecht, Inst Marine &amp; Atmospher Res Utrecht, NL-3584 CC Utrecht, Netherlands</t>
  </si>
  <si>
    <t>Utrecht University</t>
  </si>
  <si>
    <t>Van As, D (corresponding author), Geol Survey Denmark &amp; Greenland, Oster Voldgade 10, DK-1350 Copenhagen, Denmark.</t>
  </si>
  <si>
    <t>dva@geus.dk</t>
  </si>
  <si>
    <t>Van den Broeke, Michiel R./F-7867-2011</t>
  </si>
  <si>
    <t>Van den Broeke, Michiel R./0000-0003-4662-7565; van As, Dirk/0000-0002-6553-8982</t>
  </si>
  <si>
    <t>10.1017/S095410200700065X</t>
  </si>
  <si>
    <t>WOS:000251823700015</t>
  </si>
  <si>
    <t>Lambrecht, A; Sandhäger, H; Vaughan, DG; Mayer, C</t>
  </si>
  <si>
    <t>Lambrecht, A.; Sandhaeger, H.; Vaughan, D. G.; Mayer, C.</t>
  </si>
  <si>
    <t>New ice thickness maps of Filchner-Ronne Ice Shelf, Antarctica, with specific focus on grounding lines and marine ice</t>
  </si>
  <si>
    <t>Foundation Ice Stream; meteoric ice thickness; Mollereisstrom</t>
  </si>
  <si>
    <t>BENEATH</t>
  </si>
  <si>
    <t>For the Filchner-Ronne Ice Shelf we have compiled measurements of meteoric ice thickness from many institutions, and several different techniques (e.g. radar and seismic sounding) to produce an improved digital map of meteoric ice thickness. This map has high-resolution compared to previous compilations and serves to highlight small-scale geographic features (e.g. ice plains, grounding-line regions). We have also produced a map of the thickness of marine ice bodies beneath the ice shelf by using borehole density data to calibrate an ice thickness to surface-elevation relation, and then comparing maps of ice surface elevation and meteoric ice thickness to infer marine ice thickness. Due to denser data coverage and the improved density-depth relation, the resulting map is a significant improvement on its predecessors and allows insight into the glaciological context of the ice shelf, in particular, into the location of the grounding lines on the southern Ronne Ice Shelf. Here the data were supplemented with barometric determination of surface elevation, which were used to locate the grounding line position. The final delineation of the grounding line position was confirmed by reference to satellite imagery, and revealed that earlier estimates were substantially in error, especially in the area of Foundation Ice Stream and Mollereisstrom.</t>
  </si>
  <si>
    <t>[Lambrecht, A.; Sandhaeger, H.] Stiftung Alfred Wegener Inst Polar &amp; Meeresforsch, D-27515 Bremerhaven, Germany; [Lambrecht, A.] Univ Innsbruck, Inst Meteorol &amp; Geophys, A-6020 Innsbruck, Austria; [Vaughan, D. G.] British Antarctic Survey, NERC, Cambridge CB3 0ET, England; [Mayer, C.] Univ Munich, Bavarian Aca Sci &amp; Humanities, Commiss Glaciol, D-80539 Munich, Germany</t>
  </si>
  <si>
    <t>Helmholtz Association; Alfred Wegener Institute, Helmholtz Centre for Polar &amp; Marine Research; University of Innsbruck; UK Research &amp; Innovation (UKRI); Natural Environment Research Council (NERC); NERC British Antarctic Survey; University of Munich</t>
  </si>
  <si>
    <t>Lambrecht, A (corresponding author), Stiftung Alfred Wegener Inst Polar &amp; Meeresforsch, Postfach 120161, D-27515 Bremerhaven, Germany.</t>
  </si>
  <si>
    <t>astrid.lambrecht@uibk.ac.at</t>
  </si>
  <si>
    <t>Vaughan, David/C-8348-2011</t>
  </si>
  <si>
    <t>Vaughan, David/0000-0002-9065-0570</t>
  </si>
  <si>
    <t>10.1017/S0954102007000661</t>
  </si>
  <si>
    <t>WOS:000251823700016</t>
  </si>
  <si>
    <t>Arnould, JPY; Kirkwood, R</t>
  </si>
  <si>
    <t>Arnould, John P. Y.; Kirkwood, Roger</t>
  </si>
  <si>
    <t>Habitat selection by female Australian fur seals (Arctocephalus pusillus doriferus)</t>
  </si>
  <si>
    <t>AQUATIC CONSERVATION-MARINE AND FRESHWATER ECOSYSTEMS</t>
  </si>
  <si>
    <t>Symposium in Honor of Professor John Croxall held at the British-Antarctic-Survey</t>
  </si>
  <si>
    <t>APR 06-07, 2006</t>
  </si>
  <si>
    <t>Cambridge, ENGLAND</t>
  </si>
  <si>
    <t>Australian fur seal; habitat selection; foraging areas; Bass Strait; otariid</t>
  </si>
  <si>
    <t>SOUTHERN ELEPHANT SEALS; FISHERIES MANAGEMENT; BASS STRAIT; ECOSYSTEM APPROACH; CONTINENTAL-SHELF; FORAGING BEHAVIOR; WINTERTIME CIRCULATION; SURFACE TEMPERATURES; SPATIAL-DISTRIBUTION; UPWELLING SYSTEM</t>
  </si>
  <si>
    <t>1. Numerous studies have determined the foraging areas of marine apex predators and investigated their relationship to oceanographic features. Most of these., however, have concentrated on surface-feeding seabirds or epipelagic-foraging marine mammals and there is little information on habitat selection in benthic divers. 2. Satellite telemetry was used during the winters of 2001-2003 to determine the foraging areas of 48 female Australian fur seals (Arctocephalus pusillus doriferus) from four breeding sites in northern Bass Strait whose colonies together represent &gt; 80% of the total species population. 3. All individuals foraged over the shallow continental shelf of Bass Strait supporting earlier studies that suggested the species is an exclusively benthic forager. Individual females showed a high degree of foraging site-fidelity and several foraging 'hot spot' areas could be identified. 4. Analysis of habitat use indicated that individuals selected areas with depths of 60-80 In significantly more (lambda = 0.216, P &lt; 0.001) than any other bathymetric class. There was also evidence for foraging areas being influenced by SST, with individuals selecting regions of 16.0-16.8 degrees C SST = 0.008, P &lt; 0.01), but not surface chlorophyll-a concentration (P &gt; 0.05). 5. Temporal analysis of at-sea movements indicated, due to their primarily benthic foraging mode, the areas frequented by female Australian fur seals did not overlap substantially With areas targeted by commercial fisheries. An exception to this was in far eastern Bass Strait where the Otter Trawl component of the Commonwealth Trawl Sector is highly active over the continental shelf and encompasses the areas frequented by females from The Skerries colony. Copyright (c) 2008 John Wiley &amp; Sons, Ltd.</t>
  </si>
  <si>
    <t>[Arnould, John P. Y.] Deakin Univ, Sch Life &amp; Environm Sci, Burwood, Vic 3125, Australia; [Kirkwood, Roger] Phillip Isl Nat Pk, Cowes, Vic 3922, Australia</t>
  </si>
  <si>
    <t>Deakin University</t>
  </si>
  <si>
    <t>Arnould, JPY (corresponding author), Deakin Univ, Sch Life &amp; Environm Sci, 221 Burwood Highway, Burwood, Vic 3125, Australia.</t>
  </si>
  <si>
    <t>john.arnould@deakin.edu.au</t>
  </si>
  <si>
    <t>1052-7613</t>
  </si>
  <si>
    <t>1099-0755</t>
  </si>
  <si>
    <t>AQUAT CONSERV</t>
  </si>
  <si>
    <t>Aquat. Conserv.-Mar. Freshw. Ecosyst.</t>
  </si>
  <si>
    <t>S53</t>
  </si>
  <si>
    <t>S67</t>
  </si>
  <si>
    <t>10.1002/aqc.908</t>
  </si>
  <si>
    <t>Environmental Sciences; Marine &amp; Freshwater Biology; Water Resources</t>
  </si>
  <si>
    <t>Environmental Sciences &amp; Ecology; Marine &amp; Freshwater Biology; Water Resources</t>
  </si>
  <si>
    <t>269VT</t>
  </si>
  <si>
    <t>WOS:000253679300006</t>
  </si>
  <si>
    <t>Burg, TM</t>
  </si>
  <si>
    <t>Burg, Theresa M.</t>
  </si>
  <si>
    <t>Genetic analysis of wandering albatrosses killed in longline fisheries off the east coast of New Zealand</t>
  </si>
  <si>
    <t>longline fisheries; wandering albatross; genetic markers; conservation</t>
  </si>
  <si>
    <t>DIOMEDEA-EXULANS; POPULATION ASSIGNMENT; SEABIRD MORTALITY; DYNAMICS; AUSTRALIA; HATCHERY; BYCATCH; OCEAN</t>
  </si>
  <si>
    <t>1. Fisheries bycatch is an important global conservation issue. Each year many species, including seabirds, are killed accidentally in longline fisheries. Highly vagile marine species such as the wandering albatross species complex (Diomedea spp.), populations of which have declined dramatically due to fisheries-related mortality, traverse large areas of open ocean and as a result are at high risk of negative fisheries interactions. 2. For most wandering albatrosses found dead at-sea the provenance is unknown unless they are ringed, as their poor condition make species identification very difficult. However, molecular markers can be used as genetic tags to identify the population of origin of bycatch birds. 3. Five microsatellite markers and mitochondrial restriction fragment length polymorphism were used to genotype 41 individuals belonging to the wandering albatross species complex killed in longline fisheries in two locations off the east coast of the North and South Islands of New Zealand, an area known to be visited by at least three members of the wandering albatross groups. 4. Assignment tests indicate that the majority (22/30 of assigned individuals) of bycatch birds were D. antipodensis antipodensis from Antipodes Island, the closest breeding site. More than half of the North Island birds were assigned to D. a. antipodensis (8/14); the remaining samples were assigned to both the D. a. gibsoni from The Auckland Islands (n = 3) and D. exulans from the South Atlantic/Indian Ocean (n = 3). The South Island samples were almost exclusively assigned to D. a. antipodensis (14/16) of which 13 were males. In the North Island samples there were 14 males and 8 females. 5. This study has shown that molecular markers are a powerful tool to determine the species identity, population of origin and sex of bycatch birds to better understand the impact of fisheries-related mortality and conservation priorities for individual populations. Copyright (c) 2008 John Wiley &amp; Sons, Ltd.</t>
  </si>
  <si>
    <t>Univ Lethbridge, Dept Biol, Lethbridge, AB T1K 3M4, Canada</t>
  </si>
  <si>
    <t>University of Lethbridge</t>
  </si>
  <si>
    <t>Burg, TM (corresponding author), Univ Lethbridge, Dept Biol, Lethbridge, AB T1K 3M4, Canada.</t>
  </si>
  <si>
    <t>theresa.burg@uleth.ca</t>
  </si>
  <si>
    <t>S93</t>
  </si>
  <si>
    <t>S101</t>
  </si>
  <si>
    <t>10.1002/aqc.907</t>
  </si>
  <si>
    <t>WOS:000253679300009</t>
  </si>
  <si>
    <t>Campagna, C; Sanderson, EW; Coppolillo, PB; Falabella, V; Piola, AR; Strindberg, S; Croxall, JP</t>
  </si>
  <si>
    <t>Campagna, Claudio; Sanderson, Eric W.; Coppolillo, Peter B.; Falabella, Valeria; Piola, Alberto R.; Strindberg, Samantha; Croxall, John P.</t>
  </si>
  <si>
    <t>A species approach to marine ecosystem conservation</t>
  </si>
  <si>
    <t>marine conservation planning; marine protected areas; ecosystem-based management; large marine ecosystems</t>
  </si>
  <si>
    <t>PENGUINS SPHENISCUS-MAGELLANICUS; SOUTHERN ELEPHANT SEALS; ILLEX-ARGENTINUS; DIVING BEHAVIOR; PROTECTED AREAS; FRONTS; SQUID; ATLANTIC; RESERVES; FISHERY</t>
  </si>
  <si>
    <t>1. The concept of integrated ecosystem conservation is widely supported as a framework to achieve sustainable management of biodiversity. However, paucity of data and limited methodological tools reduce its application in approaches that integrate scientific knowledge, enhance international cooperation, and promote a rationale that appeals to stakeholders. 2. The landscape species concept (LS), a species-based conservation planning tool developed for patterns and processes of terrestrial conservation, is applied to the Extended Patagonian Marine Ecosystem (E-PME) in the SW Atlantic. The E-PME encompasses the Patagonian continental shelf, shelf break front and part of the Argentine Basin (ca. 3000000km(2)). 3. This ecosystem is influenced by oceanographic patterns of currents and bathymetry as well as by the overlapping geographies of national and international conventions, including those that govern use of the High Seas. The interactions of these oceanographic and jurisdictional structures, and the distribution and seasonal movements of biological species, drive present conservation opportunities and threats. 4. Here, an analysis of 33 candidate species in terms of their area requirements, heterogeneity of their habitat use, vulnerability to threats, ecological functions, and socioeconomic importance is reported, and a suite of 'seascape species' is developed around which to build conservation efforts. Preliminary geographic representations of the human and biological aspects of the seascape are provided, and how their spatial intersection affects conservation approaches is discussed. 5. The application of a focal species approach in an ecosystem framework complements space-habitat perspectives (e.g. the Large Marine Ecosystem concept) and may lead to more efficient planning of marine protected areas. Copyright (c) 2008 John Wiley &amp; Sons, Ltd.</t>
  </si>
  <si>
    <t>[Campagna, Claudio] Consejo Nacl Invest Cient &amp; Tecn, Ctr Nacl Patagon, RA-9120 Puerto Madryn, Chubut, Argentina; [Campagna, Claudio; Sanderson, Eric W.; Coppolillo, Peter B.; Falabella, Valeria; Strindberg, Samantha] Wildlife Conservat Soc, Bronx, NY 10460 USA; [Piola, Alberto R.] Serv Hidrografia, Dept Oceanog, RA-1271 Buenos Aires, DF, Argentina; [Piola, Alberto R.] Univ Buenos Aires, Fac Ciencias Exactas &amp; Nat, Dept Ciencias Atmosera &amp; Oceanos, Buenos Aires, DF, Argentina; [Croxall, John P.] British Antarctic Survey, Nat Environm Res Council, Cambridge CB3 0ET, England</t>
  </si>
  <si>
    <t>Consejo Nacional de Investigaciones Cientificas y Tecnicas (CONICET); Centro Nacional Patagonico (CENPAT); Wildlife Conservation Society; University of Buenos Aires; UK Research &amp; Innovation (UKRI); Natural Environment Research Council (NERC); NERC British Antarctic Survey</t>
  </si>
  <si>
    <t>Campagna, C (corresponding author), Wildlife Conservat Soc, 2300 Southern Blvd, Bronx, NY 10460 USA.</t>
  </si>
  <si>
    <t>ccampagna@wcs.org</t>
  </si>
  <si>
    <t>Piola, Alberto/HZI-5475-2023; Sanderson, Eric W./O-1664-2019; Piola, Alberto/O-2280-2013</t>
  </si>
  <si>
    <t>Piola, Alberto/0000-0002-5003-8926; Campagna, Claudio/0000-0002-7971-5062; Coppolillo, Peter/0000-0002-1502-8503; SANDERSON, ERIC W./0000-0002-7477-0193</t>
  </si>
  <si>
    <t>S122</t>
  </si>
  <si>
    <t>S147</t>
  </si>
  <si>
    <t>10.1002/aqc.918</t>
  </si>
  <si>
    <t>WOS:000253679300011</t>
  </si>
  <si>
    <t>Costa, DP</t>
  </si>
  <si>
    <t>Costa, Daniel P.</t>
  </si>
  <si>
    <t>A conceptual model of the variation in parental attendance in response to environmental fluctuation: foraging energetics of lactating sea lions and fur seals</t>
  </si>
  <si>
    <t>marine mammals; foraging intensity; metabolic ceiling; ENSO</t>
  </si>
  <si>
    <t>SOUTH-GEORGIA; INTERANNUAL VARIABILITY; REPRODUCTIVE SUCCESS; AMSTERDAM ISLAND; SEASONAL-CHANGES; PUP BEHAVIOR; CHICK GROWTH; BERING SEA; TIME; AVAILABILITY</t>
  </si>
  <si>
    <t>1. A conceptual model is described and tested using empirical data that predicts how air-breathing marine vertebrates that are tied to shore for reproduction, but feed at sea, should respond to changes in prey availability. 2. The model examines the trade-off between changes in trip duration and foraging intensity as measured by field metabolic rate. It predicts that parents should increase the intensity of effort, and hence metabolic rate, prior to increasing the duration of foraging trips to maintain nutrient delivery to the young. 3. The model was tested with data on the foraging energetics and trip duration of four species, northern and Antarctic fur seals and California and Australian sea lions, each studied over two contrasting seasons. 4. The response of these marine predators to changes in prey availability due to climate driven environmental perturbation was found to support the conceptual model. Copyright (c) 2008 John Wiley &amp; Sons, Ltd.</t>
  </si>
  <si>
    <t>Univ Calif Santa Cruz, Dept Ecol &amp; Evolut Biol, Santa Cruz, CA 95060 USA</t>
  </si>
  <si>
    <t>University of California System; University of California Santa Cruz</t>
  </si>
  <si>
    <t>Costa, DP (corresponding author), Univ Calif Santa Cruz, Dept Ecol &amp; Evolut Biol, 100 Shaffer Rd, Santa Cruz, CA 95060 USA.</t>
  </si>
  <si>
    <t>JOHN WILEY &amp; SONS LTD</t>
  </si>
  <si>
    <t>THE ATRIUM, SOUTHERN GATE, CHICHESTER PO19 8SQ, W SUSSEX, ENGLAND</t>
  </si>
  <si>
    <t>S44</t>
  </si>
  <si>
    <t>S52</t>
  </si>
  <si>
    <t>10.1002/aqc.917</t>
  </si>
  <si>
    <t>WOS:000253679300005</t>
  </si>
  <si>
    <t>Davis, LS</t>
  </si>
  <si>
    <t>Davis, Lloyd S.</t>
  </si>
  <si>
    <t>Popularizing Antarctic science: impact factors and penguins</t>
  </si>
  <si>
    <t>science communication; penguins; Antarctic; impact factors</t>
  </si>
  <si>
    <t>PYGOSCELIS-ADELIAE; ALLOCATION; CHICKS</t>
  </si>
  <si>
    <t>1. Science is the primary way by which we can know the truth about the world in which we live. Yet, as much as we need science, the public has become overwhelmed by it and, paradoxically, excluded from it too. 2. Even scientists cannot cope with the volume of science being produced and, further, the method we use to communicate among ourselves is hopelessly inadequate-indeed, a barrier-for promoting understanding outside our specialty areas. Yet, the use of impact factors and the like, used to assess and reward performance, lock us into communicating principally through the poorly accessed window of peer-reviewed journals. 3. We need means of making science easily digestible while still maintaining its precision. These are, of course, not issues peculiar to Antarctic science, however, as Antarctic scientists the responsibility for popularizing our research falls more squarely on our shoulders given the limited access others have to the Antarctic. This paper sets out what we must do in order to engage the public and popularize science: it is not just what we say, but the way we say it that is important. 4. An example of science from research on penguins is used to demonstrate the various ways it may be popularized. While the need for science communication has never been more pressing, the means at our disposal for communicating Antarctic science have never been more varied or more cost effective. Copyright (c) 2008 John Wiley &amp; Sons, Ltd.</t>
  </si>
  <si>
    <t>Univ Otago, Ctr Sci Commun, Dunedin, New Zealand</t>
  </si>
  <si>
    <t>Davis, LS (corresponding author), Univ Otago, Ctr Sci Commun, POB 56, Dunedin, New Zealand.</t>
  </si>
  <si>
    <t>adelie@stonebow.otago.ac.nz</t>
  </si>
  <si>
    <t>Davis, Lloyd/HJI-3533-2023</t>
  </si>
  <si>
    <t>S148</t>
  </si>
  <si>
    <t>S164</t>
  </si>
  <si>
    <t>10.1002/aqc.916</t>
  </si>
  <si>
    <t>WOS:000253679300012</t>
  </si>
  <si>
    <t>Dunn, E; Sullivan, B; Small, C</t>
  </si>
  <si>
    <t>Dunn, Euan; Sullivan, Ben; Small, Cleo</t>
  </si>
  <si>
    <t>Albatross conservation: from identifying problems to implementing policy</t>
  </si>
  <si>
    <t>DIOMEDEA-EXULANS; TRACKING</t>
  </si>
  <si>
    <t>[Dunn, Euan] Royal Soc Protect Birds, Sandy SG19 2DL, Beds, England; [Sullivan, Ben; Small, Cleo] Birdlife Int, Cambridge CB3 0NA, England</t>
  </si>
  <si>
    <t>Royal Society for Protection of Birds; BirdLife International</t>
  </si>
  <si>
    <t>Dunn, E (corresponding author), Royal Soc Protect Birds, Sandy SG19 2DL, Beds, England.</t>
  </si>
  <si>
    <t>euan.dunn@rspb.org.uk</t>
  </si>
  <si>
    <t>S165</t>
  </si>
  <si>
    <t>S170</t>
  </si>
  <si>
    <t>10.1002/aqc.926</t>
  </si>
  <si>
    <t>WOS:000253679300013</t>
  </si>
  <si>
    <t>González-Solís, J; Croxall, JP; Afanasyev, V</t>
  </si>
  <si>
    <t>Gonzalez-Solis, J.; Croxall, J. P.; Afanasyev, V.</t>
  </si>
  <si>
    <t>Offshore spatial segregation in giant petrels Macronectes spp.:: differences between species, sexes and seasons</t>
  </si>
  <si>
    <t>sexual segregation; seabird foraging; ornithology; GLS tracking; pelagic ecology</t>
  </si>
  <si>
    <t>PENGUIN APTENODYTES-PATAGONICUS; SEALS ARCTOCEPHALUS-GAZELLA; FORAGING STRATEGIES; TROPHIC SEGREGATION; SEXUAL SEGREGATION; STABLE-ISOTOPES; BIRD-ISLAND; COMPETITION; BEHAVIOR; HALLI</t>
  </si>
  <si>
    <t>1. Investigations were made to determine whether the two giant petrel species segregate by gender and species in relation to the stage of the annual cycle. The individual foraging behaviour of 14 male and 11 female northern giant petrels (Macronectes halli) and 13 male and 15 female southern giant petrels (M. giganteus) breeding at South Georgia were tracked over 1 year using geolocators (global location sensing loggers). 2. Males of both species showed a flexible foraging strategy, switching from coastal to pelagic habits, probably governed by spatio-temporal changes in carrion availability. In contrast, marine areas exploited by females were more consistent over the year and similar for the two species, with most foraging locations concentrated over the same pelagic waters. 3. This study provides support for the differences in foraging between sexes as the main mechanism reducing intraspecific competition. Although the two species are morphologically similar and can easily access each other's foraging habitat, they differ in the foraging areas exploited. Thus, interspecific competition seems mainly relaxed by spatial segregation, particularly between males in winter, probably mediated by different competitive abilities and physical tolerances to temperature and winds. Foraging southern giant petrels from South Georgia were not restricted to the areas within the line of equidistance to other colonies, but their foraging range overlapped with feeding grounds of conspecifics breeding in the Falkland Islands and the Antarctic Continent. 4. Taken together, these findings suggest that foraging selection on marine habitat heterogeneity reduces interspecific competition, whereas carrion availability reduces intersexual competition, in giant petrels. Copyright (c) 2008 John Wiley &amp; Sons, Ltd.</t>
  </si>
  <si>
    <t>[Gonzalez-Solis, J.] Univ Barcelona, E-08028 Barcelona, Spain; [Gonzalez-Solis, J.; Croxall, J. P.; Afanasyev, V.] British Antarctic Survey, Nat Environm res Council, Cambridge CB3 0ET, England</t>
  </si>
  <si>
    <t>University of Barcelona; UK Research &amp; Innovation (UKRI); Natural Environment Research Council (NERC); NERC British Antarctic Survey</t>
  </si>
  <si>
    <t>González-Solís, J (corresponding author), Univ Barcelona, Av Diagonal 645, E-08028 Barcelona, Spain.</t>
  </si>
  <si>
    <t>jgsolis@ub.edu</t>
  </si>
  <si>
    <t>Gonzalez-Solis, Jacob/C-3942-2008; González-Solís, Jacob/AAB-1161-2019</t>
  </si>
  <si>
    <t>Gonzalez-Solis, Jacob/0000-0002-8691-9397;</t>
  </si>
  <si>
    <t>S22</t>
  </si>
  <si>
    <t>S36</t>
  </si>
  <si>
    <t>10.1002/aqc.911</t>
  </si>
  <si>
    <t>WOS:000253679300003</t>
  </si>
  <si>
    <t>Harcourt, RG; Kingston, JJ; Waas, JR; Hindell, MA</t>
  </si>
  <si>
    <t>Harcourt, R. G.; Kingston, J. J.; Waas, J. R.; Hindell, M. A.</t>
  </si>
  <si>
    <t>Foraging while breeding: alternative mating strategies by male Weddell seals?</t>
  </si>
  <si>
    <t>Weddell seal; mating strategy; polygyny; aquatic breeding; dive depth; feeding</t>
  </si>
  <si>
    <t>MALE HARBOR SEALS; LEPTONYCHOTES-WEDDELLI; MCMURDO-SOUND; UNDERWATER VOCALIZATIONS; PHOCA-VITULINA; ELEPHANT SEALS; PATERNITY; BEHAVIOR; AGE; POPULATION</t>
  </si>
  <si>
    <t>1. In terrestrially breeding phocid seals males are significantly larger than females with their large size conferring advantage in male-male competition, and increasing their ability to fast during the breeding season, prolonging tenure and hence mating opportunities. 2. For aquatically breeding seals, the opportunity to feed during the breeding season may offset the need for large size and the ability to fast. 3. Individual differences in male breeding success, behaviour and mass changes for Weddell seals (Leptonychotes weddellii) at Turtle Rock, McMurdo Sound (77.727S, 166.85E) during 1997, 1998 and 1999 were recorded. 4. Males were tracked under the ice through each breeding season using an acoustic array (n = 15). Mass changes were measured for 30 males, all of which were successfully genotyped and were aged between 6 and 20 years (mean 13.7). 5. Territory use was dynamic, with some males spending most of the time either at or near the surface, others diving deep and others switching from regular diving to near surface behaviour. 6. Rate of mass loss varied more than three-fold (mean 2.1 +/- 0.53 kg day(-1) range 0.0 to 4. 1) as did mass-specific loss (mean 0.53 +/- 0.23). 7. Maximum dive depth for the individuals also varied dramatically (10 to 518m) and was inversely related to the rate of mass-specific loss, suggesting that the deep diving males may offset the costs of breeding by foraging. 8. Males that stayed near the surface successfully sired pups as did males that continued to dive. Both strategies therefore seemed to be equally successful. 9. Foraging during the breeding season may be a male strategy that may potentially prolong tenure, but appears to be facultative rather than obligative. Copyright (c) 2008 John Wiley &amp; Sons, Ltd.</t>
  </si>
  <si>
    <t>[Harcourt, R. G.; Kingston, J. J.] Macquarie Univ, Marine Mammal Res Grp, Grad Sch Environm, Sydney, NSW 2109, Australia; [Waas, J. R.] Univ Waikato, Dept Biol Sci, Hamilton, New Zealand; [Hindell, M. A.] Univ Tasmania, Antarct Wildlife Res Unit, Dept Zool, Hobart, Tas 7001, Australia</t>
  </si>
  <si>
    <t>Macquarie University; University of Waikato; University of Tasmania</t>
  </si>
  <si>
    <t>Harcourt, RG (corresponding author), Macquarie Univ, Marine Mammal Res Grp, Grad Sch Environm, Sydney, NSW 2109, Australia.</t>
  </si>
  <si>
    <t>rharcour@gse.mq.edu.au</t>
  </si>
  <si>
    <t>Hindell, Mark A/K-1131-2013; Hindell, Mark A/C-8368-2013</t>
  </si>
  <si>
    <t>Harcourt, Robert/0000-0003-4666-2934; Hindell, Mark/0000-0002-7823-7185</t>
  </si>
  <si>
    <t>S68</t>
  </si>
  <si>
    <t>S78</t>
  </si>
  <si>
    <t>10.1002/aqc.915</t>
  </si>
  <si>
    <t>WOS:000253679300007</t>
  </si>
  <si>
    <t>Kooyman, GL; Ponganis, PJ</t>
  </si>
  <si>
    <t>Kooyman, Gerald L.; Ponganis, Paul J.</t>
  </si>
  <si>
    <t>The initial journey of juvenile emperor penguins</t>
  </si>
  <si>
    <t>emperor penguin; Aptenodytes forsteri; Ross Sea; Cape Washington; satellite tracking</t>
  </si>
  <si>
    <t>PYGOSCELIS-ADELIAE; WINTER MIGRATION; KING PENGUINS; ROSS SEA; HABITAT; TRAVEL; MOLT</t>
  </si>
  <si>
    <t>1. The first major journey of emperor penguins, among several in their lifetime, is the juveniles' dispersal from their natal colony on a trip that takes them beyond Antarctic waters. The route taken by fledglings from Cape Washington (74.5 degrees S; 165.4 degrees E) was Studied by applying satellite transmitters to ten individuals during December 1994-1996. In January 2001 transmitters with longer transmission capacity were also applied to six hand-fed fledglings, which had been held captive for one month while attaining a body mass exceeding that of wild birds. These post-captive birds were released at the ice edge of McMurdo Sound (77.5 degrees S; 165.0 degrees E), which is in the vicinity of other emperor penguin colonies, and 320km south of their natal colony of Cape Washington. 2. Independent of their parents, the wild birds travelled north-east for the next two months, reaching locations as low as 57 degrees S. The post-captive birds travelled north also, but their trek reached only to about 63 degrees S before they turned south, or remained near their most northerly position from March through May. 3. It was concluded that among colonies in the southern Ross Sea: (a) most healthy fledglings Survive at least the first two months at sea, feeding themselves as they go; (b) the Cape Washington fledglings travelled as far north as 57 degrees S, and much of this journey was in ice free waters; (c) by April, the post-captive birds reached at least as far as the large-scale pack ice edge and possibly beyond the edge Lit 63 degrees S; (d) by early March the trend north ends, and by about late March the birds travel to, or remain near the northern ice edge. 4. The reason the birds travel so far north remains a mystery. Copyright (c) 2008 John Wiley &amp; Sons, Ltd.</t>
  </si>
  <si>
    <t>[Kooyman, Gerald L.; Ponganis, Paul J.] Univ Calif San Diego, Scripps Inst Oceanog, Ctr Marine Biomed &amp; Biotechnol, La Jolla, CA 92093 USA</t>
  </si>
  <si>
    <t>Kooyman, GL (corresponding author), Univ Calif San Diego, Scripps Inst Oceanog, Ctr Marine Biomed &amp; Biotechnol, Scholander Hall 0204, La Jolla, CA 92093 USA.</t>
  </si>
  <si>
    <t>gkooyman@ucsd.edu</t>
  </si>
  <si>
    <t>, gerald/0000-0002-8872-2950</t>
  </si>
  <si>
    <t>S37</t>
  </si>
  <si>
    <t>S43</t>
  </si>
  <si>
    <t>10.1002/aqc.930</t>
  </si>
  <si>
    <t>WOS:000253679300004</t>
  </si>
  <si>
    <t>Phillips, RA; Croxall, JP; Silk, JRD; Briggs, DR</t>
  </si>
  <si>
    <t>Phillips, R. A.; Croxall, J. P.; Silk, J. R. D.; Briggs, D. R.</t>
  </si>
  <si>
    <t>Foraging ecology of albatrosses and petrels from South Georgia: two decades of insights from tracking technologies</t>
  </si>
  <si>
    <t>activity pattern; diving; foraging behaviour; geolocation; migration; niche partitioning; nonbreeding distribution; seabird; spatial segregation; telemetry; satellite-tracking</t>
  </si>
  <si>
    <t>WHITE-CHINNED PETRELS; BLACK-BROWED ALBATROSSES; GRAY-HEADED ALBATROSSES; FLIGHT SEARCH PATTERNS; WANDERING ALBATROSSES; DIOMEDEA-EXULANS; THALASSARCHE-CHRYSOSTOMA; HABITAT USE; PROCELLARIA-AEQUINOCTIALIS; PROVISIONING STRATEGIES</t>
  </si>
  <si>
    <t>1. A wide range of instrumentation has been deployed on albatrosses and petrels at Bird Island, South Georgia, in studies dating back to the mid-1980s. Early results indicated the huge distances that albatrosses and large petrels travelled within the breeding season. More recent data show the capacity for sustained ground speeds &gt;100 km h(-1), taking advantage of the local wind field. 1. Migrants can cover &gt; 750-950 km day(-1); one grey-headed albatross circumnavigated the Southern Ocean in only 46 days. 2. Improved coverage of different life-history stages and seasons has revealed striking variation in distribution in relation to seasonality of resources and reproductive constraints. There is often a degree of sexual segregation, and, typically, marked individual differences in primary wintering areas and timing of migration that persist from year to year. 3. Although there is considerable inter-specific spatial segregation, habitat preferences can overlap, and the intensity of competition is then reduced by differences in behaviour (degree of nocturnal activity, diving capability and manoeuvrability). Migrants appear to avoid congeners and conspecifics from other populations mainly through differences in timing of movements. 4. More detailed analyses of activity patterns suggest that birds adjust flight behaviour at multiple spatial scales. Albatrosses are much more active during daylight than darkness probably because they find it more difficult to locate prey at night. Nonetheless, a substantial proportion of prey may be captured in darkness using a sit-and-wait tactic. Use of stomach temperature probes also suggests a higher proportion of the diet consists of gelatinous organisms than is indicated from analyses of stomach contents collected at the colony. 5. Many albatrosses and large petrels are experiencing widespread population declines. Tracking data that allow the determination of the degree of overlap between birds and fisheries, and hence potential vulnerability to bycatch, are of increasing conservation relevance. Copyright (c) 2008 John Wiley &amp; Sons, Ltd.</t>
  </si>
  <si>
    <t>[Phillips, R. A.; Croxall, J. P.; Silk, J. R. D.; Briggs, D. R.] British Antarctic Survey, Nat Environm Res Council, Cambridge CB3 0ET, England</t>
  </si>
  <si>
    <t>Phillips, RA (corresponding author), British Antarctic Survey, Nat Environm Res Council, High Cross,Madingley Rd, Cambridge CB3 0ET, England.</t>
  </si>
  <si>
    <t>raphil@bas.ac.uk</t>
  </si>
  <si>
    <t>S6</t>
  </si>
  <si>
    <t>S21</t>
  </si>
  <si>
    <t>10.1002/aqc.906</t>
  </si>
  <si>
    <t>WOS:000253679300002</t>
  </si>
  <si>
    <t>Reid, K; Croxall, JP; Murphy, EJ</t>
  </si>
  <si>
    <t>Reid, Keith; Croxall, John P.; Murphy, Eugene J.</t>
  </si>
  <si>
    <t>The power of ecosystem monitoring</t>
  </si>
  <si>
    <t>ecosystem monitoring; fisheries; Antarctic krill Euphausia superba; statistical power</t>
  </si>
  <si>
    <t>KRILL POPULATION-DYNAMICS; MARINE ECOSYSTEM; ENVIRONMENTAL-IMPACT; MANAGING FISHERIES; VARIABILITY; MANAGEMENT; PREDATORS; IMPLEMENTATION; CONSERVATION; INDICATORS</t>
  </si>
  <si>
    <t>1. Implementing an ecosystem approach to fisheries management requires an effective ecosystem monitoring programme, the utility of which depends upon its ability (measured by the statistical power) to detect effects that trigger management action. 2. Using data from a long-term ecosystem monitoring programme of the predators of Antarctic krill Euphausia superba at South Georgia together with a krill population model to simulate natural and fisheries induced variability in krill abundance, the power to detect the effects of different levels of fishing was examined. 3. The power to detect the effects of fishing using either the krill population or a combined predator response index was low (20-40% power after 20 years with the probability of a type I error (alpha) = 0.05). The power increased to &gt; 50% when a was increased to 0.2 when the ability to detect change was greater with the predator response index than using the krill population itself. 4. The results indicate that although this monitoring programme has a proven ability to detect the effects of natural variability in krill abundance, its ability to detect the effects of fishing may be limited if there is a requirement for statistical significance at the 95% level. A situation where changing a produces a marked increase in statistical power, and the difference in the relative ecological costs of making type I and type II errors is likely to be high, may require a more flexible approach to choosing significance levels required to trigger management action. 5. Although long-term monitoring provides a wealth of basic ecological information it is essential to evaluate, the ability to detect specific changes in order that management action is not delayed because of an inability to detect an effect rather than the lack of an effect of the fishery. Copyright (c) 2008 John Wiley &amp; Sons, Ltd.</t>
  </si>
  <si>
    <t>[Reid, Keith; Croxall, John P.; Murphy, Eugene J.] British Antarctic Survey, Nat Environm Res Council, Cambridge CB3 0ET, England</t>
  </si>
  <si>
    <t>Reid, K (corresponding author), British Antarctic Survey, Nat Environm Res Council, High Cross,Madingley Rd, Cambridge CB3 0ET, England.</t>
  </si>
  <si>
    <t>k.reid@bts.ac.uk</t>
  </si>
  <si>
    <t>S79</t>
  </si>
  <si>
    <t>S92</t>
  </si>
  <si>
    <t>10.1002/aqc.909</t>
  </si>
  <si>
    <t>WOS:000253679300008</t>
  </si>
  <si>
    <t>Reid, K; Clarke, A</t>
  </si>
  <si>
    <t>Reid, Keith; Clarke, Andrew</t>
  </si>
  <si>
    <t>John Croxall and marine conservation biology: an introduction to the symposium</t>
  </si>
  <si>
    <t>[Reid, Keith; Clarke, Andrew] British Antarctic Survey, Nat Environm Res Council, Cambridge CB3 0ET, England</t>
  </si>
  <si>
    <t>Clarke, A (corresponding author), British Antarctic Survey, Nat Environm Res Council, High Cross,Madingley Rd, Cambridge CB3 0ET, England.</t>
  </si>
  <si>
    <t>S2</t>
  </si>
  <si>
    <t>S5</t>
  </si>
  <si>
    <t>10.1002/aqc.914</t>
  </si>
  <si>
    <t>WOS:000253679300001</t>
  </si>
  <si>
    <t>Robertson, G; Moreno, CA; Crujeiras, J; Wienecke, B; Gandini, P; Mcpherson, G; Pon, JPS</t>
  </si>
  <si>
    <t>Robertson, Graham; Moreno, Carlos A.; Crujeiras, Julian; Wienecke, Barbara; Gandini, Patricia; Mcpherson, Glen; Seco Pon, Juan Pablo</t>
  </si>
  <si>
    <t>An experimental assessment of factors affecting the sink rates of Spanish-rig longlines to minimize impacts on seabirds</t>
  </si>
  <si>
    <t>longline fisheries; seabird mortality; Spanish system; Patagonian toothfish; line weighting regimes; co-operative research</t>
  </si>
  <si>
    <t>WHITE-CHINNED PETRELS; DIVING DEPTHS; SOUTH GEORGIA; BY-CATCH; MORTALITY; FISHERIES; ALBATROSSES; ISLANDS</t>
  </si>
  <si>
    <t>1. The Spanish system of longline fishing is used in a range of demersal and semi-pelagic fisheries throughout the southern hemisphere and has been the source of a large number of seabird fatalities. An experiment was conducted on a chartered Spanish-rig vessel to increase the sink rate of longlines to reduce interactions with seabirds. 2. The experiment examined the effect of setting speed, distance between line weights and the weight of the line weights on the sink rates of hook lines. 3. The most powerful effect was line weighting, which affected sink rate independent of setting speed and distance between weights. Distance between weights was also important, but its effect depended on setting speed. Overall, however, the effect of setting speed was minor and the principal determinants of sink rates were the mass of the weights and distance between the weights. 4. Based on published accounts of seabird mortality in Spanish system fisheries, 8 kg/30 m is the preferred weighting regime to minimize interactions with seabirds. Sink rates from this regime are the fastest that can be expected from Spanish system gear without overly compromising fishing operations. Used in combination with bird scaring streamer lines and the slower setting speeds the weighting regime has the potential to reduce mortality of albatrosses and deep diving seabird species to very low levels. Copyright (c) 2008 John Wiley &amp; Sons, Ltd.</t>
  </si>
  <si>
    <t>[Robertson, Graham; Wienecke, Barbara] Australian Antarctic Div, Kingston, Tas 7050, Australia; [Moreno, Carlos A.] Univ Austral Chile, Inst Ecol &amp; Evoluc, Valdivia, Chile; [Crujeiras, Julian] Argenova SA, Puerto Deseado, Santa Cruz, Argentina; [Gandini, Patricia] Consejo Nacl Invest Cient &amp; Tecn, Ctr Invest Puerto Deseado, RA-9050 Puerto Deseado, Santa Cruz, Argentina; [Gandini, Patricia] Wildlife Conservat Soc, RA-9050 Puerto Deseado, Santa Cruz, Argentina; [Mcpherson, Glen] Glen McPherson Consultancy, Sandy Bay, Tas 7005, Australia; [Seco Pon, Juan Pablo] Univ nacl Patagonia Austral, Ctr Invest Puerto Deseado, RA-9050 Puerto Deseado, Santa Cruz, Argentina</t>
  </si>
  <si>
    <t>Australian Antarctic Division; Universidad Austral de Chile; Consejo Nacional de Investigaciones Cientificas y Tecnicas (CONICET); Universidad Nacional de la Patagonia San Juan Bosco</t>
  </si>
  <si>
    <t>Robertson, G (corresponding author), Australian Antarctic Div, 203 Channel Highway, Kingston, Tas 7050, Australia.</t>
  </si>
  <si>
    <t>Seco Pon, Juan Pablo/0000-0003-2480-5455</t>
  </si>
  <si>
    <t>S102</t>
  </si>
  <si>
    <t>S121</t>
  </si>
  <si>
    <t>10.1002/aqc.924</t>
  </si>
  <si>
    <t>WOS:000253679300010</t>
  </si>
  <si>
    <t>Absil, O; du Foresto, VC; Barillot, M; Swain, MR</t>
  </si>
  <si>
    <t>Absil, O.; du Foresto, V. Coude; Barillot, M.; Swain, M. R.</t>
  </si>
  <si>
    <t>Nulling interferometry: performance comparison between Antarctica and other ground-based sites</t>
  </si>
  <si>
    <t>ASTRONOMY &amp; ASTROPHYSICS</t>
  </si>
  <si>
    <t>atmospheric effects; instrumentation : high angular resolution; techniques : interferometric; circumstellar matter</t>
  </si>
  <si>
    <t>DOME-C; FLUCTUATIONS; ATMOSPHERE; DISKS</t>
  </si>
  <si>
    <t>Context. Detecting the presence of circumstellar dust around nearby solar-type main sequence stars is an important pre-requisite for the design of future life-finding space missions such as ESA's Darwin or NASA's Terrestrial Planet Finder (TPF). The high Antarctic plateau may provide appropriate conditions to perform such a survey from the ground. Aims. We investigate the performance of a nulling interferometer optimised for the detection of exozodiacal discs at Dome C, on the high Antarctic plateau, and compare it to the expected performance of similar instruments at temperate sites. Methods. Based on the currently available measurements of the atmospheric turbulence characteristics at Dome C, we adapt the GENIEsim software (Absil et al. 2006, A&amp; A, 448, 787) to simulate the performance of a nulling interferometer on the high Antarctic plateau. To feed a realistic instrumental configuration into the simulator, we propose a conceptual design for ALADDIN, the Antarctic L-band Astrophysics Discovery Demonstrator for Interferometric Nulling. We assume that this instrument can be placed above the 30-m thick boundary layer, where most of the atmospheric turbulence originates. Results. We show that an optimised nulling interferometer operating on a pair of 1-m class telescopes located 30 m above the ground could achieve a better sensitivity than a similar instrument working with two 8-m class telescopes at a temperate site such as Cerro Paranal. The detection of circumstellar discs about 20 times as dense as our local zodiacal cloud seems within reach for typical Darwin/TPF targets in an integration time of a few hours. Moreover, the exceptional turbulence conditions significantly relax the requirements on real-time control loops, which has favourable consequences on the feasibility of the nulling instrument. Conclusions. The perspectives for high dynamic range, high angular resolution infrared astronomy on the high Antarctic plateau look very promising.</t>
  </si>
  <si>
    <t>Univ Grenoble 1, LAOG, CNRS, F-38400 Grenoble, France; Univ Liege, Inst Astrophys &amp; Geophys, B-4000 Liege, Belgium; Observ Paris, CNRS, LESIA, F-92195 Meudon, France; Thales Alenia Space, F-06156 Cannes La Bocca, France; CALTECH, Jet Prop Lab, Pasadena, CA 91109 USA</t>
  </si>
  <si>
    <t>Centre National de la Recherche Scientifique (CNRS); Communaute Universite Grenoble Alpes; Universite Grenoble Alpes (UGA); University of Liege; Centre National de la Recherche Scientifique (CNRS); Universite PSL; Observatoire de Paris; Thales Group; National Aeronautics &amp; Space Administration (NASA); NASA Jet Propulsion Laboratory (JPL); California Institute of Technology</t>
  </si>
  <si>
    <t>Absil, O (corresponding author), Univ Grenoble 1, LAOG, CNRS, 414 Rue Piscine, F-38400 Grenoble, France.</t>
  </si>
  <si>
    <t>olivier.absil@obs.ujf-grenoble.fr</t>
  </si>
  <si>
    <t>Absil, Olivier/0000-0002-4006-6237</t>
  </si>
  <si>
    <t>EDP SCIENCES S A</t>
  </si>
  <si>
    <t>LES ULIS CEDEX A</t>
  </si>
  <si>
    <t>17, AVE DU HOGGAR, PA COURTABOEUF, BP 112, F-91944 LES ULIS CEDEX A, FRANCE</t>
  </si>
  <si>
    <t>0004-6361</t>
  </si>
  <si>
    <t>1432-0746</t>
  </si>
  <si>
    <t>ASTRON ASTROPHYS</t>
  </si>
  <si>
    <t>Astron. Astrophys.</t>
  </si>
  <si>
    <t>10.1051/0004-6361:20077582</t>
  </si>
  <si>
    <t>231KO</t>
  </si>
  <si>
    <t>WOS:000250945900040</t>
  </si>
  <si>
    <t>Smale, DA; Barnes, DKA; Fraser, KPP</t>
  </si>
  <si>
    <t>Smale, Dan A.; Barnes, David K. A.; Fraser, Keiron P. P.</t>
  </si>
  <si>
    <t>The influence of ice scour on benthic communities at three contrasting sites at Adelaide Island, Antarctica</t>
  </si>
  <si>
    <t>AUSTRAL ECOLOGY</t>
  </si>
  <si>
    <t>Antarctica; benthos; community; disturbance; ice scour</t>
  </si>
  <si>
    <t>SIGNY ISLAND; WEDDELL SEA; MCMURDO SOUND; DISTURBANCE; GROWTH; IMPACT; RECOLONIZATION; SCALE; RECRUITMENT; ABUNDANCE</t>
  </si>
  <si>
    <t>Ice scouring is a key structuring force acting on high latitude shallow benthic communities. Despite its importance, detailed studies of scoured communities are still rare. Here we report the ecological effects of 12 iceberg impacts, across three contrasting study sites, at Adelaide Island, West Antarctic Peninsula. Grounded icebergs were marked with GPS and the newly formed scours (at 10-17 m depth) were sampled within 20 days of formation. Comparisons between scoured and adjacent unscoured assemblages were made using measures of abundance, biomass, taxon richness and the relative abundance of secondary consumers. Ice scouring was catastrophic at all sites, despite differences in substratum type, exposure and background community. Compared with undisturbed areas, scour assemblages were 95% lower in mean macrofaunal abundance and 75.9% lower in species richness. There was no general trend across all sites of ice scouring selecting for secondary consumers. The echinoid Sterechinus neumayeri and bivalve mollusc Mysella charcoti were highly abundant in undisturbed areas and were the biggest contributors to the observed differences between scours and undisturbed areas.</t>
  </si>
  <si>
    <t>Natural Environment Research Council [dml011000, bas010015] Funding Source: researchfish; NERC [dml011000, bas010015] Funding Source: UKRI</t>
  </si>
  <si>
    <t>1442-9985</t>
  </si>
  <si>
    <t>1442-9993</t>
  </si>
  <si>
    <t>AUSTRAL ECOL</t>
  </si>
  <si>
    <t>Austral Ecol.</t>
  </si>
  <si>
    <t>10.1111/j.1442-9993.2007.01776.x</t>
  </si>
  <si>
    <t>228VM</t>
  </si>
  <si>
    <t>WOS:000250760700005</t>
  </si>
  <si>
    <t>Roleda, MY; Zacher, K; Wulff, A; Hanelt, D; Wiencke, C</t>
  </si>
  <si>
    <t>Roleda, Michael Y.; Zacher, Katharina; Wulff, Angela; Hanelt, Dieter; Wiencke, Christian</t>
  </si>
  <si>
    <t>Photosynthetic performance, DNA damage and repair in gametes of the endemic Antarctic brown alga Ascoseira mirabilis exposed to ultraviolet radiation</t>
  </si>
  <si>
    <t>Ascoseira mirabilis; cyclobutane pyrimidine dimer; optimum quantum yield; photosynthetic recovery; P-I curve</t>
  </si>
  <si>
    <t>UV-ABSORBING COMPOUNDS; KING-GEORGE-ISLAND; PHOTOSYSTEM-II; MACROCYSTIS-PYRIFERA; DEPTH DISTRIBUTION; CARBON FIXATION; POTTER COVE; ZOOSPORES; LIGHT; PHOTOINHIBITION</t>
  </si>
  <si>
    <t>Stress physiology on the reproductive cells of Antarctic macroalgae remained unstudied. Ascoseira mirabilis is endemic to the Antarctic region, an isolated ecosystem exposed to extreme environmental conditions. Moreover, stratospheric ozone depletion leads to increasing ultraviolet radiation (280-400 nm) at the earth's surface, thus it is necessary to investigate the capacity of reproductive cells to cope with different UV irradiances. This study is aimed to investigate the impact of exposure to different spectral irradiance on the photosynthetic performance, DNA damage and gamete morphology of the A. mirabilis. Gametangia, gametes and zygotes of the upper sublittoral brown alga A. mirabilis were exposed to photosynthetically active radiation (PAR = P; 400-700 nm), P + UV-A radiation (UV-A, 320-400 nm) and P + UV-A + UV-B radiation (UV-B, 280-320 nm). Rapid photosynthesis versus irradiance curves of freshly released propagules were measured. Photosynthetic efficiencies and DNA damage (in terms of cyclobutane pyrimidine dimers) were determined after 1, 2, 4 and 8 h exposure as well as after 2 days of recovery in dim white light. Saturation irradiance (I-k) in freshly released propagules was 52 mu mol photons m(-2) s(-1). Exposure for 1 h under 22 mu mol photons m(-2) s(-1) of PAR significantly reduced the optimum quantum yield (F-v/F-m), suggesting that propagules are low light adapted. Furthermore, UVR significantly contributed to the photoinhibition of photosynthesis. Increasing dose as a function of exposure time additionally exacerbated the effects of different light treatments. The amount of DNA damage increased with the UV-B dose but an efficient repair mechanism was observed in gametes pre-exposed to a dose lower than 5.8 x 10(3) J m(-2) of UV-B. The results of this study demonstrate the negative impact of UV-B radiation. However, gametes of A. mirabilis are capable of photosynthetic recovery and DNA repair when the stress factor is removed. This capacity was observed to be dependent on the fitness of the parental sporophyte.</t>
  </si>
  <si>
    <t>Alfred Wegener Inst Polar &amp; Marine Res, Biol Anstalt Helgoland, Marine Stn, Helgoland, Germany; Univ Kiel, Inst Polar Ecol, D-24148 Kiel, Germany; Alfred Wegener Inst Polar &amp; Marine Res, Sect Seaweed Biol, Bremerhaven, Germany; Univ Hamburg, Biozentrum Klein Flottbek, Hamburg, Germany; Univ Gothenburg, Dept Marine Ecol, Gothenburg, Sweden</t>
  </si>
  <si>
    <t>Helmholtz Association; Alfred Wegener Institute, Helmholtz Centre for Polar &amp; Marine Research; University of Kiel; Helmholtz Association; Alfred Wegener Institute, Helmholtz Centre for Polar &amp; Marine Research; University of Hamburg; University of Gothenburg</t>
  </si>
  <si>
    <t>Roleda, MY (corresponding author), Alfred Wegener Inst Polar &amp; Marine Res, Biol Anstalt Helgoland, Marine Stn, Helgoland, Germany.</t>
  </si>
  <si>
    <t>mroleda@ipoe.uni-kiel.de</t>
  </si>
  <si>
    <t>Roleda, Michael Y./H-9645-2019; Hanelt, Dieter/E-6659-2017</t>
  </si>
  <si>
    <t>Roleda, Michael Y./0000-0003-0568-9081;</t>
  </si>
  <si>
    <t>10.1111/j.1442-9993.2007.01796.x</t>
  </si>
  <si>
    <t>WOS:000250760700009</t>
  </si>
  <si>
    <t>Müller, RD; Gohl, K; Cande, SC; Goncharov, A; Golynsky, AV</t>
  </si>
  <si>
    <t>Mueller, R. D.; Gohl, K.; Cande, S. C.; Goncharov, A.; Golynsky, A. V.</t>
  </si>
  <si>
    <t>Eocene to Miocene geometry of the West Antarctic Rift System</t>
  </si>
  <si>
    <t>Antarctica; crustal stretching; crustal thickness; plate kinematics; rift system</t>
  </si>
  <si>
    <t>TECTONIC EVOLUTION; CRUSTAL STRUCTURE; ROSS SEA; BELLINGSHAUSEN SEA; BASEMENT GEOLOGY; EAST ANTARCTICA; PACIFIC MARGIN; EARTHS CRUST; GRAVITY-DATA; REGION</t>
  </si>
  <si>
    <t>Tectonic models for the Late Cretaceous/Tertiary evolution of the West Antarctic Rift System range from hundreds of kilometres of extension to negligible strike-slip displacement and are based on a variety of observations, as well as kinematic and geodynamic models. Most data constraining these models originate from the Ross Sea/Adore Trough area and the Transantarctic Mountains. We use a new Antarctic continental crustal-thinning grid, combined with a revised plate-kinematic model based on East Antarctic-Australia-Pacific-West Antarctic plate circuit closure, to trace the geometry and extensional style of the Eocene-Oligocene West Antarctic Rift from the Ross Sea to the South Shetland Trench. The combined data suggest that from chron 21 (48 Ma) to chron 8 (26 Ma), the West Antarctic Rift System was characterised by extension in the west to dextral strike-slip in the east, where it was connected to the Pacific-Phoenix-East Antarctic triple junction via the Byrd Subglacial Basin and the Bentley Subglacial Trench, interpreted as pullapart basins. Seismic-reflection profiles crossing the De Gerlache Gravity Anomaly, a tectonic scar from a former spreading ridge jump in the Bellingshausen Sea, suggest Late Tertiary reactivation in a dextral strike-slip mode. This is supported by seismic-reflection profiles crossing the De Gerlache Gravity Anomaly in the Bellingshausen Sea, which show incised narrow sediment troughs and vertical faults indicating strike-slip movement along a north-south direction, Using pre-48 Ma plate circuit closure, we test the hypothesis that the Lord Howe Rise was attached to the Pacific Plate during the opening of the Tasman Sea, We show that this plate geometry may be plausible at least between 74 and 48 Ma, but further work especially on Australian-Antarctic relative plate motions is required to test this hypothesis.</t>
  </si>
  <si>
    <t>[Mueller, R. D.] Univ Sydney, Sch Geosci, Sydney, NSW 2006, Australia; [Gohl, K.] Alfred Wegener Inst Polar &amp; Marine Res, D-27515 Bremerhaven, Germany; [Cande, S. C.] Univ Calif San Diego, Scripps Inst Oceanog, La Jolla, CA 92093 USA; [Goncharov, A.] Geosci Australia, Canberra, ACT 2601, Australia; [Golynsky, A. V.] All Russian Res Inst Geol &amp; Mineral Resources Wor, VNIIOkeangeol, St Petersburg 190121, Russia</t>
  </si>
  <si>
    <t>University of Sydney; Helmholtz Association; Alfred Wegener Institute, Helmholtz Centre for Polar &amp; Marine Research; University of California System; University of California San Diego; Scripps Institution of Oceanography; Geoscience Australia; A.P. Karpinsky Russian Geological Research Institute (VSEGEI)</t>
  </si>
  <si>
    <t>Müller, RD (corresponding author), Univ Sydney, Sch Geosci, Sydney, NSW 2006, Australia.</t>
  </si>
  <si>
    <t>dietmar@geosci.usyd.edu.au</t>
  </si>
  <si>
    <t>Müller, Dietmar/L-1200-2019; Goncharov, Alexey/AAF-5171-2019</t>
  </si>
  <si>
    <t>Müller, Dietmar/0000-0002-3334-5764; Golynsky, Alexander/0000-0003-2546-4082; Gohl, Karsten/0000-0002-9558-2116</t>
  </si>
  <si>
    <t>10.1080/08120090701615691</t>
  </si>
  <si>
    <t>254NU</t>
  </si>
  <si>
    <t>WOS:000252594100002</t>
  </si>
  <si>
    <t>De Souza, MJ; Bharathi, PAL; Nair, S; Chandramohan, D</t>
  </si>
  <si>
    <t>De Souza, Maria-Judith; Bharathi, P. A. Loka; Nair, Shanta; Chandramohan, D.</t>
  </si>
  <si>
    <t>Trade-off in Antarctic bacteria: limnetic psychrotrophs concede multiple enzyme expressions for multiple metal resistance</t>
  </si>
  <si>
    <t>BIOMETALS</t>
  </si>
  <si>
    <t>multiple metal-resistance; antibiotic-resistance; trade-off; Antarctic freshwater</t>
  </si>
  <si>
    <t>ANTIBIOTIC-RESISTANCE; MERCURY RESISTANCE; MARINE-BACTERIA; WATER; SEA; POPULATION; TOLERANCE; PATTERNS; COPPER</t>
  </si>
  <si>
    <t>The present study examines the metal and antibiotic resistant bacteria in ice and water from lakes east and west of the Indian base camp (Maitri) in Antarctica. The isolates from western and eastern lakes showed distinct geographical differences in properties like metal resistance and enzyme expression. This may be attributed to high organic loading in the lakes on the west of Maitri. However, there was no marked geopraphical distinction in antibiotic resistance between the lakes. Bacteria from the lakes on the eastern side showed resistance to three or more metals including mercury while, those from the western were resistant to only 1-2 metals excluding mercury. Multiple enzyme expression was more pronounced in the lakes on the western side. On the eastern side multiple metal resistance was encountered in bacterial isolates associated with fewer enzyme expressions suggesting a trade-off. Thus these Antarctic isolates from the east trade their ability to express multiple enzymes for developing resistance to multiple metals including mercury.</t>
  </si>
  <si>
    <t>Natl Inst Oceanog, Microbiol Lab, Panaji 403004, Goa, India</t>
  </si>
  <si>
    <t>Council of Scientific &amp; Industrial Research (CSIR) - India; CSIR - National Institute of Oceanography (NIO)</t>
  </si>
  <si>
    <t>De Souza, MJ (corresponding author), Natl Inst Oceanog, Microbiol Lab, Panaji 403004, Goa, India.</t>
  </si>
  <si>
    <t>mjudith@darya.nio.org</t>
  </si>
  <si>
    <t>Gonsalves, Judith/0000-0001-9074-2902</t>
  </si>
  <si>
    <t>0966-0844</t>
  </si>
  <si>
    <t>1572-8773</t>
  </si>
  <si>
    <t>Biometals</t>
  </si>
  <si>
    <t>10.1007/s10534-006-9045-8</t>
  </si>
  <si>
    <t>224QW</t>
  </si>
  <si>
    <t>WOS:000250462500001</t>
  </si>
  <si>
    <t>Sampe, T; Xie, SP</t>
  </si>
  <si>
    <t>Sampe, Takeaki; Xie, Shang-Ping</t>
  </si>
  <si>
    <t>Mapping high sea winds from space: A global climatology</t>
  </si>
  <si>
    <t>BULLETIN OF THE AMERICAN METEOROLOGICAL SOCIETY</t>
  </si>
  <si>
    <t>EASTERN EQUATORIAL PACIFIC; SURFACE-TEMPERATURE; SOUTHERN-OCEAN; SATELLITE-OBSERVATIONS; STORM TRACKS; JET STREAMS; QUIKSCAT; STRESS; CONVECTION; CYCLONE</t>
  </si>
  <si>
    <t>High winds at sea are feared by sailors, but their distribution is poorly known because ships have avoided them as much as possible. The accumulation of spaceborne scatterometer measurements now allows a global mapping of high winds over the ocean. Seven years of Quick Scatterometer (QuikSCAT) data gathered since July 1999 show that high-wind events, defined as wind speeds greater than 20 m s(-1) (strong gale and higher on the Beaufort scale), mostly happen in winter. Over coastal regions, land orography is the major cause of high winds, forcing wind jets of various types. Over the open ocean, high winds tend to be collocated with the extratropical storm tracks, along which migratory low and high pressure systems travel eastward. In comparison, tropical cyclones do not leave a strong signature in the climatology of high-wind occurrence except in the western Pacific east of Taiwan. In the extratropics, sea surface temperature (SST) fronts and their meanders significantly change the frequency of high-wind events. For example, high winds occur twice as often (or more) over the warmer than the colder flank of the Gulf Stream, and over the poleward than equatorward meanders of the Antarctic Circumpolar Current. The collocation of frequent high winds and SST frontal zones is not a mere coincidence because SST gradients anchor storm tracks, which in turn sustain the surface westerlies against friction with lateral heat and momentum flux. Both the high mean speed and large variance of wind increase the probability of high winds. Implications for navigation safety and oceanographic and climate research are discussed.</t>
  </si>
  <si>
    <t>[Sampe, Takeaki; Xie, Shang-Ping] Univ Hawaii, SOEST, Int Pacific Res Ctr, Dept Meteorol, Honolulu, HI 96822 USA; [Xie, Shang-Ping] Univ Hawaii Manoa, Dept Meteorol, Honolulu, HI 96822 USA</t>
  </si>
  <si>
    <t>University of Hawaii System; University of Hawaii System; University of Hawaii Manoa</t>
  </si>
  <si>
    <t>Xie, SP (corresponding author), Univ Hawaii, SOEST, Int Pacific Res Ctr, Dept Meteorol, 1680 E W Rd, Honolulu, HI 96822 USA.</t>
  </si>
  <si>
    <t>xie@hawaii.edu</t>
  </si>
  <si>
    <t>Takeaki, Sampe/C-9838-2013; Xie, Shang-Ping/C-1254-2009</t>
  </si>
  <si>
    <t>Xie, Shang-Ping/0000-0002-3676-1325</t>
  </si>
  <si>
    <t>0003-0007</t>
  </si>
  <si>
    <t>1520-0477</t>
  </si>
  <si>
    <t>B AM METEOROL SOC</t>
  </si>
  <si>
    <t>Bull. Amer. Meteorol. Soc.</t>
  </si>
  <si>
    <t>10.1175/BAMS-88-12-1965</t>
  </si>
  <si>
    <t>250XH</t>
  </si>
  <si>
    <t>WOS:000252334100018</t>
  </si>
  <si>
    <t>Luque, SP; Miller, EH; Arnould, JPY; Chambellant, M; Guinet, C</t>
  </si>
  <si>
    <t>Luque, Sebastian P.; Miller, Edward H.; Arnould, John P. Y.; Chambellant, Magaly; Guinet, Christophe</t>
  </si>
  <si>
    <t>Ontogeny of body size and shape of Antarctic and subantarctic fur seals</t>
  </si>
  <si>
    <t>CANADIAN JOURNAL OF ZOOLOGY</t>
  </si>
  <si>
    <t>LION ZALOPHUS-CALIFORNIANUS; ARCTOCEPHALUS-TROPICALIS; CALLORHINUS-URSINUS; AMSTERDAM ISLAND; DIVING BEHAVIOR; TURNING PERFORMANCE; ENERGY-EXPENDITURE; PINNIPED LACTATION; POSTNATAL-GROWTH; MACQUARIE ISLAND</t>
  </si>
  <si>
    <t>Pre- and post-weaning functional demands on body size and shape of mammals are often in conflict, especially in species where weaning involves a change of habitat. Compared with long lactations, brief lactations are expected to be associated with fast rates of development and attainment of adult traits. We describe allometry and growth for several morphological traits in two closely related fur seal species with large differences in lactation duration at a sympatric site. Longitudinal data were collected from Antarctic (Arctocephalus gazella (Peters, 1875); 120 d lactation) and subantarctic (Arctocephalus tropicalis (Gray, 1872); 300 d lactation) fur seals. Body mass was similar in neonates of both species, but A. gazella neonates were longer, less voluminous, and had larger foreflippers. The species were similar in rate of preweaning growth in body mass, but growth rates of linear variables were faster for A. gazella pups. Consequently, neonatal differences in body shape increased over lactation, and A. gazella pups approached adult body shape faster than did A. tropicalis pups. Our results indicate that preweaning growth is associated with significant changes in body shape, involving the acquisition of a longer, more slender body with larger foreflippers in A. gazella. These differences suggest that A. gazella pups are physically more mature at approximately 100 d of age (close to weaning age) than A. tropicalis pups of the same age.</t>
  </si>
  <si>
    <t>[Luque, Sebastian P.; Chambellant, Magaly; Guinet, Christophe] CNRS, Ctr Etud Biol Chize, Unite Propre 1934, F-79360 Villiers en Bois, France; [Luque, Sebastian P.; Miller, Edward H.] Mem Univ Newfoundland, Dept Biol, St John, NF A1B 3X9, Canada; [Arnould, John P. Y.] Deakin Univ, Sch Life &amp; Environm Sci, Burwood, Vic 3125, Australia</t>
  </si>
  <si>
    <t>Centre National de la Recherche Scientifique (CNRS); Memorial University Newfoundland; Deakin University</t>
  </si>
  <si>
    <t>sluque@mun.ca</t>
  </si>
  <si>
    <t>CANADIAN SCIENCE PUBLISHING, NRC RESEARCH PRESS</t>
  </si>
  <si>
    <t>OTTAWA</t>
  </si>
  <si>
    <t>65 AURIGA DR, SUITE 203, OTTAWA, ON K2E 7W6, CANADA</t>
  </si>
  <si>
    <t>0008-4301</t>
  </si>
  <si>
    <t>1480-3283</t>
  </si>
  <si>
    <t>CAN J ZOOL</t>
  </si>
  <si>
    <t>Can. J. Zool.</t>
  </si>
  <si>
    <t>10.1139/Z07-092</t>
  </si>
  <si>
    <t>262WQ</t>
  </si>
  <si>
    <t>WOS:000253179100008</t>
  </si>
  <si>
    <t>Epstein, SA</t>
  </si>
  <si>
    <t>Epstein, Samuel A.</t>
  </si>
  <si>
    <t>An attempt to quantify eustatic sea level fluctuations - A geological perspective</t>
  </si>
  <si>
    <t>CARBONATES AND EVAPORITES</t>
  </si>
  <si>
    <t>OXYGEN ISOTOPES; CORAL-REEFS; ELAT AQABA; GULF; ATOLL; MAGNETOSTRATIGRAPHY; CHRONOLOGY; PLATFORMS; FLORIDA; EVENT</t>
  </si>
  <si>
    <t>The complete meltdown of the Greenland and Antarctic ice sheets would raise the sea level 65 meters, whereas a partial meltdown only a few tens of meters. Eustatic sea level rates of changes in Greenland since 2003 show a net ice mass reduction of 96 gigatons per year; with this, geologists are called upon to add a historical perspective upon these changes. Pre-Neogene continental rearrangements occurred at numerous episodes, masking the net effects of eustatic level fluctuations. Glacial advance is prominent during late Precambrian, late Carboniferous and Pleistocene. Greenhouse events and temperature increases are evident during the Devonian and Cretaceous. Paleo-continental landmass positions reveal a direct relationship to icehouse and greenhouse events. The restriction of global oceanic circulation at the equator brings about icehouse events. Absolute rates of change for comparison purposes to the present are currently impossible due to the multivariate effects (1) tectonic plate motion world wide; (2) variations in sedimentary processes; (3) diagenetic change in sedimentary rock; (4) subsidence, on the resultant stratigraphic record. Since carbonate reefs reach the top of the subsea or photic zone, carbonate reef grow, t., It is an ideal indicator of sea level change. Carbonate deposits at the Caribbean - South America plate boundary are a prime example that plate motion can greatly supersede sea level fluctuations. The best areas to use carbonate reef data is along the Florida-Babamas-Caribbean passive margins of the Atlantic basin, where Neogene tectonics and carbonate deposition were stable. The carbon dioxide levels were much greater above the K/T boundary, creating an environment devoid of significant carbonate buildups. The earliest significant quantitative sea-level rate of change data is derived from wells drilled into stable carbonate platforms of the late Neogene 2-7 Ma, when carbon dioxide levels decreased in the atmosphere. Cores show rates of paleo sea level rise averaging 10 to 20cm/100yr versus currently between 17-32cm/100yr. The rate increase has nearly doubled within the past 14 years. This increased rate of change in sea-level has been recently highlighted at the 2007 Intergovernmental Panel on Climate Change in Paris, France. In the past, rapid warming caused extreme increase in eustatic sea level rates of change reflected in geochemical data from carbonate Holocene reef cores from the west side of Barbados Island, drowned reefs off the Florida coast, and from Bermuda. The measuring sea level changes of 1-2m/100yr are evident from 13,000-17,000 years ago. The warming is attributed to solar irradiance at glacial maximum during the Wisconsinan 14,000-20,000 years before present when sea level was as much as -175 meters lower than today. This lowered sea level evidence is derived from Holocene reefs south of the Great Barrier Reef in Australia. Bluemle (2001) characterizes the Holocene as a sequence of ten or more global scale little ice ages fairly irregularly spaced, each lasting a few centuries and separated by global warming events shown from the ice core data. Friedman (2005) noted an overall cooling trend in ocean waters based on Red Sea beach rock geochemical data from 7,000 to 2,000 years ago. Through all the erratic temperature swings over the past 4,000 years geochemical data from Holocene reef cores from Florida show a sea level rise of 12cm/100yr., typical of stable geological and climatological periods. The Questions remains: Is the current rate change of sea level significant or, just another unanswered anomaly from the cycle curve?.</t>
  </si>
  <si>
    <t>Epstein, SA (corresponding author), 173 Beach 134th St, Belle Harbor, NY USA.</t>
  </si>
  <si>
    <t>0891-2556</t>
  </si>
  <si>
    <t>1878-5212</t>
  </si>
  <si>
    <t>CARBONATE EVAPORITE</t>
  </si>
  <si>
    <t>Carbonates Evaporites</t>
  </si>
  <si>
    <t>10.1007/BF03176244</t>
  </si>
  <si>
    <t>242LE</t>
  </si>
  <si>
    <t>WOS:000251725800006</t>
  </si>
  <si>
    <t>Brown, JL</t>
  </si>
  <si>
    <t>Brown, Jeff L.</t>
  </si>
  <si>
    <t>Cold regions - Antarctic station runs on renewable energy</t>
  </si>
  <si>
    <t>CIVIL ENGINEERING</t>
  </si>
  <si>
    <t>ASCE-AMER SOC CIVIL ENGINEERS</t>
  </si>
  <si>
    <t>RESTON</t>
  </si>
  <si>
    <t>1801 ALEXANDER BELL DR, RESTON, VA 20191-4400 USA</t>
  </si>
  <si>
    <t>0885-7024</t>
  </si>
  <si>
    <t>CIVIL ENG</t>
  </si>
  <si>
    <t>Civil Eng.</t>
  </si>
  <si>
    <t>Engineering, Civil</t>
  </si>
  <si>
    <t>240VW</t>
  </si>
  <si>
    <t>WOS:000251617300009</t>
  </si>
  <si>
    <t>Pollock, NW</t>
  </si>
  <si>
    <t>Pollock, Neal W.</t>
  </si>
  <si>
    <t>Scientific diving in Antarctica: history and current practice</t>
  </si>
  <si>
    <t>DIVING AND HYPERBARIC MEDICINE</t>
  </si>
  <si>
    <t>Antarctica; diving; scientific diving; hypothermia (see thermal problems); equipment; logistics; safety; review article</t>
  </si>
  <si>
    <t>NITROUS-OXIDE; HUMANS; RESPONSES; DIVERS; PERFORMANCE; AFTERDROP; OXYGEN; ICE</t>
  </si>
  <si>
    <t>Diving has served as an important research tool in Antarctic science for the past 50 years. Equipment, techniques and oversight have developed to make it a mainstream function in many polar programmes. The safety record is encouraging particularly given the unforgiving nature of the environment.</t>
  </si>
  <si>
    <t>Pollock, Neal/0000-0001-6043-5856</t>
  </si>
  <si>
    <t>SOUTH PACIFIC UNDERWATER MED SOC</t>
  </si>
  <si>
    <t>MELBOURNE</t>
  </si>
  <si>
    <t>C/O AUSTRALIAN &amp; NEW ZEALAND COLL ANAESTHETISTS, 630 ST KILDA RD, MELBOURNE, VIC 3004, AUSTRALIA</t>
  </si>
  <si>
    <t>1833-3516</t>
  </si>
  <si>
    <t>DIVING HYPERB MED</t>
  </si>
  <si>
    <t>Diving Hyperb. Med.</t>
  </si>
  <si>
    <t>Public, Environmental &amp; Occupational Health</t>
  </si>
  <si>
    <t>316VA</t>
  </si>
  <si>
    <t>WOS:000256976600005</t>
  </si>
  <si>
    <t>Polnikov, VG; Dymov, VI; Pasechnik, TA; Lavrenov, IV; Abuzyarov, YN</t>
  </si>
  <si>
    <t>Polnikov, V. G.; Dymov, V. I.; Pasechnik, T. A.; Lavrenov, I. V.; Abuzyarov, Yu. N.</t>
  </si>
  <si>
    <t>Real merits of the wind wave model with an optimized source function</t>
  </si>
  <si>
    <t>DOKLADY EARTH SCIENCES</t>
  </si>
  <si>
    <t>Russian Acad Sci, Oboukhov Inst Atmospher Phys, Moscow 119017, Russia; Moscow Hydrometeorol Res Ctr, Moscow, Russia; Arctic &amp; Antarctic Res Inst, St Petersburg 199226, Russia</t>
  </si>
  <si>
    <t>Russian Academy of Sciences; Obukhov Institute of Atmospheric Physics of Russian Academy of Sciences; Arctic &amp; Antarctic Research Institute</t>
  </si>
  <si>
    <t>Polnikov, VG (corresponding author), Russian Acad Sci, Oboukhov Inst Atmospher Phys, Pyzhevskii 3, Moscow 119017, Russia.</t>
  </si>
  <si>
    <t>polnikov@mail.ru</t>
  </si>
  <si>
    <t>MAIK NAUKA/INTERPERIODICA/SPRINGER</t>
  </si>
  <si>
    <t>233 SPRING ST, NEW YORK, NY 10013-1578 USA</t>
  </si>
  <si>
    <t>1028-334X</t>
  </si>
  <si>
    <t>1531-8354</t>
  </si>
  <si>
    <t>DOKL EARTH SCI</t>
  </si>
  <si>
    <t>Dokl. Earth Sci.</t>
  </si>
  <si>
    <t>10.1134/S1028334X07090188</t>
  </si>
  <si>
    <t>249TM</t>
  </si>
  <si>
    <t>WOS:000252252700018</t>
  </si>
  <si>
    <t>Alekseev, GV; Nagurny, AP</t>
  </si>
  <si>
    <t>Alekseev, G. V.; Nagurny, A. P.</t>
  </si>
  <si>
    <t>Role of sea ice in the formation of annual carbon dioxide cycle in the Arctic</t>
  </si>
  <si>
    <t>[Alekseev, G. V.; Nagurny, A. P.] State Sci Ctr Russian Fed, Arctic &amp; Antarctic Res Inst, St Petersburg 199397, Russia</t>
  </si>
  <si>
    <t>Alekseev, GV (corresponding author), State Sci Ctr Russian Fed, Arctic &amp; Antarctic Res Inst, Ul Beringa 38, St Petersburg 199397, Russia.</t>
  </si>
  <si>
    <t>alexgv@aari.nw.ru</t>
  </si>
  <si>
    <t>10.1134/S1028334X0709022X</t>
  </si>
  <si>
    <t>WOS:000252252700022</t>
  </si>
  <si>
    <t>Brier, S; Maria, G; Carginale, V; Capasso, A; Wu, Y; Taylor, RM; Borotto, NB; Capasso, C; Engen, JR</t>
  </si>
  <si>
    <t>Brier, Sebastien; Maria, Giovanna; Carginale, Vincenzo; Capasso, Antonio; Wu, Yan; Taylor, Robert M.; Borotto, Nicholas B.; Capasso, Clemente; Engen, John R.</t>
  </si>
  <si>
    <t>Purification and characterization of pepsins A1 and A2 from the Antarctic rock cod Trematomus bernacchii</t>
  </si>
  <si>
    <t>FEBS JOURNAL</t>
  </si>
  <si>
    <t>aspartic proteases; cold-adapted protein; rock cod; specificity</t>
  </si>
  <si>
    <t>ASPARTIC PROTEINASES; PORCINE PEPSIN; CRYSTAL-STRUCTURE; COLD ADAPTATION; MOLECULAR-BASIS; EVOLUTION; SEQUENCE; PROCHYMOSINS; SPECIFICITY; TRYPSINOGEN</t>
  </si>
  <si>
    <t>The Antarctic notothenioid Trematomus bernacchii (rock cod) lives at a constant mean temperature of - 1.9 degrees C. Gastric digestion under these conditions relies on the proteolytic activity of aspartic proteases such as pepsin. To understand the molecular mechanisms of Antarctic fish pepsins, T. bernacchii pepsins A1 and A2 were cloned, overexpressed in Escherichia coli, purified and characterized with a number of biochemical and biophysical methods. The properties of these two Antarctic isoenzymes were compared to those of porcine pepsin and found to be unique in a number of ways. Fish pepsins were found to be more temperature sensitive, generally less active at lower pH and more sensitive to inhibition by pepstatin than their mesophilic counterparts. The specificity of Antarctic fish pepsins was similar but not identical to that of pig pepsin, probably owing to changes in the sequence of fish enzymes near the active site. Gene duplication of Antarctic rock cod pepsins is the likely mechanism for adaptation to the harsh temperature environment in which these enzymes must function.</t>
  </si>
  <si>
    <t>NE Univ Boston, Barnett Inst Chem &amp; Biol Anal, Dept Chem &amp; Chem Biol, Boston, MA USA; CNR, Inst Prot Biochem, Naples, Italy</t>
  </si>
  <si>
    <t>Northeastern University; Consiglio Nazionale delle Ricerche (CNR); Istituto di Biochimica delle Proteine (IBP-CNR)</t>
  </si>
  <si>
    <t>Engen, JR (corresponding author), NE Univ Boston, Barnett Inst, 360 Huntington Ave, Boston, MA 02115 USA.</t>
  </si>
  <si>
    <t>j.engen@neu.edu</t>
  </si>
  <si>
    <t>Brier, Sebastien/L-7787-2019; Brier, Sébastien/E-8558-2019; CAPASSO, CLEMENTE/P-3522-2016; Carginale, Vincenzo/N-2531-2014</t>
  </si>
  <si>
    <t>Brier, Sebastien/0000-0003-1758-8237; Taylor, Robert/0000-0002-9025-0155; Borotto, Nicholas/0000-0003-2793-1481; Engen, John R./0000-0002-6918-9476; CAPASSO, CLEMENTE/0000-0003-3314-2411; Carginale, Vincenzo/0000-0002-1842-494X</t>
  </si>
  <si>
    <t>NIGMS NIH HHS [R01 GM070590, GM070590, R01 GM070590-05] Funding Source: Medline</t>
  </si>
  <si>
    <t>NIGMS NIH HHS(United States Department of Health &amp; Human ServicesNational Institutes of Health (NIH) - USANIH National Institute of General Medical Sciences (NIGMS))</t>
  </si>
  <si>
    <t>1742-464X</t>
  </si>
  <si>
    <t>1742-4658</t>
  </si>
  <si>
    <t>FEBS J</t>
  </si>
  <si>
    <t>FEBS J.</t>
  </si>
  <si>
    <t>10.1111/j.1742-4658.2007.06136.x</t>
  </si>
  <si>
    <t>232NJ</t>
  </si>
  <si>
    <t>WOS:000251026100013</t>
  </si>
  <si>
    <t>Hill, SL; Watters, GM; Punt, AE; McAllister, MK; Le Quere, C; Turner, J</t>
  </si>
  <si>
    <t>Hill, Simeon L.; Watters, George M.; Punt, Andre E.; McAllister, Murdoch K.; Le Quere, Corinne; Turner, John</t>
  </si>
  <si>
    <t>Model uncertainty in the ecosystem approach to fisheries</t>
  </si>
  <si>
    <t>FISH AND FISHERIES</t>
  </si>
  <si>
    <t>Bayesian methods; ecosystem approach to fisheries; ecosystem models; fisheries management; model uncertainty; operational management procedures</t>
  </si>
  <si>
    <t>INDIVIDUAL-BASED MODEL; STOCK ASSESSMENT; MANAGEMENT PROCEDURES; MANAGING FISHERIES; MARINE ECOSYSTEM; FOOD-WEB; OCEAN; FISH; CONSERVATION; DYNAMICS</t>
  </si>
  <si>
    <t>Fisheries scientists habitually consider uncertainty in parameter values, but often neglect uncertainty about model structure, an issue of increasing importance as ecosystem models are devised to support the move to an ecosystem approach to fisheries (EAF). This paper sets out pragmatic approaches with which to account for uncertainties in model structure and we review current ways of dealing with this issue in fisheries and other disciplines. All involve considering a set of alternative models representing different structural assumptions, but differ in how those models are used. The models can be asked to identify bounds on possible outcomes, find management actions that will perform adequately irrespective of the true model, find management actions that best achieve one or more objectives given weights assigned to each model, or formalize hypotheses for evaluation through experimentation. Data availability is likely to limit the use of approaches that involve weighting alternative models in an ecosystem setting, and the cost of experimentation is likely to limit its use. Practical implementation of an EAF should therefore be based on management approaches that acknowledge the uncertainty inherent in model predictions and are robust to it. Model results must be presented in ways that represent the risks and trade-offs associated with alternative actions and the degree of uncertainty in predictions. This presentation should not disguise the fact that, in many cases, estimates of model uncertainty may be based on subjective criteria. The problem of model uncertainty is far from unique to fisheries, and a dialogue among fisheries modellers and modellers from other scientific communities will therefore be helpful.</t>
  </si>
  <si>
    <t>British Antarctic Survey, NERC, Cambridge CB3 0ET, England; NOAA Fisheries, SW Fisheries Sci Ctr, Prot Res Div, Pacific Grove, CA 93950 USA; Univ Washington, USA Sch Aquat &amp; Fishery Sci, Seattle, WA 98195 USA; CSIRO, Marine &amp; Atmospher Res, Hobart, Tas 7001, Australia; Univ British Columbia, Fisheries Ctr, AERL, Vancouver, BC V6T 1Z4, Canada; Univ E Anglia, Sch Environm Sci, Norwich NR4 7TJ, Norfolk, England</t>
  </si>
  <si>
    <t>UK Research &amp; Innovation (UKRI); Natural Environment Research Council (NERC); NERC British Antarctic Survey; National Oceanic Atmospheric Admin (NOAA) - USA; University of Washington; University of Washington Seattle; Commonwealth Scientific &amp; Industrial Research Organisation (CSIRO); University of British Columbia; University of East Anglia</t>
  </si>
  <si>
    <t>Hill, SL (corresponding author), British Antarctic Survey, NERC, High Cross,Madingley Rd, Cambridge CB3 0ET, England.</t>
  </si>
  <si>
    <t>sih@bas.ac.uk</t>
  </si>
  <si>
    <t>Le Quéré, Corinne/C-2631-2017; Simeon, Hill L/B-2307-2008; Watters, George/HPE-2184-2023</t>
  </si>
  <si>
    <t>Le Quéré, Corinne/0000-0003-2319-0452; Watters, George/0000-0002-6989-1273; Punt, Andre/0000-0001-8489-2488; Turner, John/0000-0002-6111-5122</t>
  </si>
  <si>
    <t>1467-2960</t>
  </si>
  <si>
    <t>1467-2979</t>
  </si>
  <si>
    <t>FISH FISH</t>
  </si>
  <si>
    <t>Fish. Fish.</t>
  </si>
  <si>
    <t>10.1111/j.1467-2979.2007.00257.x</t>
  </si>
  <si>
    <t>230ZV</t>
  </si>
  <si>
    <t>WOS:000250916400003</t>
  </si>
  <si>
    <t>Kuijpers, A; Werner, F</t>
  </si>
  <si>
    <t>Kuijpers, Antoon; Werner, Friedrich</t>
  </si>
  <si>
    <t>Extremely deep-draft iceberg scouring in the glacial North Atlantic Ocean</t>
  </si>
  <si>
    <t>GEO-MARINE LETTERS</t>
  </si>
  <si>
    <t>NORWEGIAN SEA OVERFLOW; SEDIMENTARY PROCESSES; ICE-SHEET; BEDFORMS; EVENTS; MARGIN; SHELF</t>
  </si>
  <si>
    <t>Side-scan sonar and sub-bottom profiling investigations of the Iceland-Faeroe Ridge have revealed the widespread presence of iceberg plowmarks at water depths between 750 and 860 m. This is well beyond the maximum water depth reported for ice scouring in the adjacent areas of the North Atlantic. An exceptionally deep iceberg plowmark was found at the southern flank of the ridge, which could be traced down to 940 m water depth. Supported by published nearby sediment core data, a Saalian (MIS 6) age of that iceberg plowmark is suggested. Considering a glacial sea level of 120 m below present, the paleo-draft of this iceberg is estimated to have been at least 820 m. The keel depth of such giant icebergs drifting in the glacial northern North Atlantic significantly exceeds the draft dimensions of large icebergs seen today in the Antarctic. The most likely source area for this extreme deep-draft type of iceberg is inferred to be southern Greenland. Plowmark direction, which in our case indicates iceberg entrainment by the North Atlantic Current, is suggested to be a useful indicator of (sub)surface paleo-circulation during late Pleistocene iceberg surging and deglaciation episodes.</t>
  </si>
  <si>
    <t>Geol Survey Denmark &amp; Greenland, DK-1350 Copenhagen, Denmark; Univ Kiel, Inst Geol Sci, D-24118 Kiel, Germany</t>
  </si>
  <si>
    <t>Geological Survey Of Denmark &amp; Greenland; University of Kiel</t>
  </si>
  <si>
    <t>Kuijpers, A (corresponding author), Geol Survey Denmark &amp; Greenland, Oster Voldgade 10, DK-1350 Copenhagen, Denmark.</t>
  </si>
  <si>
    <t>aku@geus.dk</t>
  </si>
  <si>
    <t>0276-0460</t>
  </si>
  <si>
    <t>1432-1157</t>
  </si>
  <si>
    <t>GEO-MAR LETT</t>
  </si>
  <si>
    <t>Geo-Mar. Lett.</t>
  </si>
  <si>
    <t>10.1007/s00367-007-0059-1</t>
  </si>
  <si>
    <t>Geosciences, Multidisciplinary; Oceanography</t>
  </si>
  <si>
    <t>231VV</t>
  </si>
  <si>
    <t>WOS:000250978200002</t>
  </si>
  <si>
    <t>Zverev, VL; Vorobjev, VG</t>
  </si>
  <si>
    <t>Zverev, V. L.; Vorobjev, V. G.</t>
  </si>
  <si>
    <t>Russian studies of Antarctic Auroras: A review</t>
  </si>
  <si>
    <t>GEOMAGNETISM AND AERONOMY</t>
  </si>
  <si>
    <t>GROUND-BASED OBSERVATIONS; POLAR-CAP AURORAE; ARCS; SUBSTORMS; RELEVANCE; DYNAMICS; FEATURES; IMF</t>
  </si>
  <si>
    <t>The studies of auroras at Russian Antarctic observatories in the Southern Hemisphere began in 1957 during the second Complex Antarctic expedition and performed almost continuously up to 1993 during more than 30 years. Many observers of auroras and scientists that analyzed obtained results participated in these studies. Members of the Arctic and Antarctic Research Institute (AANII), Russian Committee on Hydrometeorology (Rosgidromet); Pushkov Institute of Terrestrial Magnetism, Ionosphere, and Radiowave Propagation, Russian Academy of Sciences (IZMIRAN); Vernov Institute of Nuclear Physics, Moscow State University (NIIYaF MGU); Polar Geophysical Institute, Russian Academy of Sciences (PGI); St. Petersburg State University (SPbGU); Schmidt Institute of Physics of the Earth (IFZ); Shafer Institute of Cosmophysical Research and Aeronomy, Siberian Branch, Russian Academy of Sciences (IKFIA SB RAN); and other institutions made an enormous contribution to the studies of Antarctic auroras. The main results of the studies of Antarctic auroras, obtained by Russian scientists, are reviewed in this work.</t>
  </si>
  <si>
    <t>Russian Acad Sci, Kola Sci Ctr, Polar Geophys Inst, Murmansk 184209, Russia</t>
  </si>
  <si>
    <t>Russian Academy of Sciences; Kola Science Centre of the Russian Academy of Sciences; Polar Geophysical Institute</t>
  </si>
  <si>
    <t>Zverev, VL (corresponding author), Russian Acad Sci, Kola Sci Ctr, Polar Geophys Inst, Ul Fersmana 14,Apatity, Murmansk 184209, Russia.</t>
  </si>
  <si>
    <t>Vorobjev, Vyacheslav/A-5957-2017; Zverev, Vladimir L./A-7281-2017</t>
  </si>
  <si>
    <t>Vorobjev, Vyacheslav/0000-0001-5377-2977;</t>
  </si>
  <si>
    <t>0016-7932</t>
  </si>
  <si>
    <t>1555-645X</t>
  </si>
  <si>
    <t>GEOMAGN AERONOMY+</t>
  </si>
  <si>
    <t>Geomagn. Aeron.</t>
  </si>
  <si>
    <t>CP7</t>
  </si>
  <si>
    <t>10.1134/S0016793207060011</t>
  </si>
  <si>
    <t>239DQ</t>
  </si>
  <si>
    <t>WOS:000251499300001</t>
  </si>
  <si>
    <t>Bokhorst, S; Huiskes, A; Convey, P; Aerts, R</t>
  </si>
  <si>
    <t>Bokhorst, S.; Huiskes, A.; Convey, P.; Aerts, R.</t>
  </si>
  <si>
    <t>Climate change effects on organic matter decomposition rates in ecosystems from the Maritime Antarctic and Falkland Islands</t>
  </si>
  <si>
    <t>GLOBAL CHANGE BIOLOGY</t>
  </si>
  <si>
    <t>environmental change; microbial breakdown; soil respiration</t>
  </si>
  <si>
    <t>LEAF-LITTER DECOMPOSITION; TERRESTRIAL ECOSYSTEMS; SOIL RESPIRATION; FUNCTIONAL TYPES; TEMPERATURE; CHEMISTRY; GROWTH; BIODIVERSITY; PREDICTORS; BACTERIAL</t>
  </si>
  <si>
    <t>Antarctic terrestrial ecosystems have poorly developed soils and currently experience one of the greatest rates of climate warming on the globe. We investigated the responsiveness of organic matter decomposition in Maritime Antarctic terrestrial ecosystems to climate change, using two study sites in the Antarctic Peninsula region (Anchorage Island, 67 degrees S; Signy Island, 61 degrees S), and contrasted the responses found with those at the cool temperate Falkland Islands (52 degrees S). Our approach consisted of two complementary methods: (1) Laboratory measurements of decomposition at different temperatures (2, 6 and 10 degrees C) of plant material and soil organic matter from all three locations. (2) Field measurements at all three locations on the decomposition of soil organic matter, plant material and cellulose, both under natural conditions and under experimental warming (about 0.8 degrees C) achieved using open top chambers. Higher temperatures led to higher organic matter breakdown in the laboratory studies, indicating that decomposition in Maritime Antarctic terrestrial ecosystems is likely to increase with increasing soil temperatures. However, both laboratory and field studies showed that decomposition was more strongly influenced by local substratum characteristics (especially soil N availability) and plant functional type composition than by large-scale temperature differences. The very small responsiveness of organic matter decomposition in the field (experimental temperature increase &lt; 1 degrees C) compared with the laboratory (experimental increases of 4 or 8 degrees C) shows that substantial warming is required before significant effects can be detected.</t>
  </si>
  <si>
    <t>Netherlands Inst Ecol, Ctr Estuarine &amp; Marine Ecol, NL-4401 NT Yerseke, Netherlands; British Antarctic Survey, NERC, Cambridge CB3 0ET, England; Vrije Univ Amsterdam, Inst Ecol Sci, Dept Syst Ecol, NL-1081 HV Amsterdam, Netherlands</t>
  </si>
  <si>
    <t>Royal Netherlands Academy of Arts &amp; Sciences; Netherlands Institute of Ecology (NIOO-KNAW); UK Research &amp; Innovation (UKRI); Natural Environment Research Council (NERC); NERC British Antarctic Survey; Vrije Universiteit Amsterdam</t>
  </si>
  <si>
    <t>Bokhorst, S (corresponding author), Netherlands Inst Ecol, Ctr Estuarine &amp; Marine Ecol, Korringaweg 7, NL-4401 NT Yerseke, Netherlands.</t>
  </si>
  <si>
    <t>S.bokhorst@sheffield.ac.uk</t>
  </si>
  <si>
    <t>Bokhorst, Stef/D-1858-2009; Huiskes, Ad/C-3252-2011; Convey, Peter/AAV-5728-2020</t>
  </si>
  <si>
    <t>Convey, Peter/0000-0001-8497-9903; Bokhorst, Stef/0000-0003-0184-1162; Aerts, Rien/0000-0001-6694-0669</t>
  </si>
  <si>
    <t>1354-1013</t>
  </si>
  <si>
    <t>1365-2486</t>
  </si>
  <si>
    <t>GLOBAL CHANGE BIOL</t>
  </si>
  <si>
    <t>Glob. Change Biol.</t>
  </si>
  <si>
    <t>10.1111/j.1365-2486.2007.01468.x</t>
  </si>
  <si>
    <t>Biodiversity Conservation; Ecology; Environmental Sciences</t>
  </si>
  <si>
    <t>232VS</t>
  </si>
  <si>
    <t>WOS:000251049000013</t>
  </si>
  <si>
    <t>Hall, BL</t>
  </si>
  <si>
    <t>Hall, Brenda L.</t>
  </si>
  <si>
    <t>Late-Holocene advance of the Collins Ice Cap, King George Island, South Shetland Islands</t>
  </si>
  <si>
    <t>HOLOCENE</t>
  </si>
  <si>
    <t>South Shetland Islands; Fildes Peninsula; late-Holocene ice extent; moraines; 'Little Ice Age'</t>
  </si>
  <si>
    <t>ANTARCTIC PENINSULA; WEST ANTARCTICA; CLIMATE-CHANGE; SWISS ALPS; GLACIERS; SHELVES; HISTORY</t>
  </si>
  <si>
    <t>Radiocarbon dates of incorporated moss indicate advance of the Collins Ice Cap on Fildes Peninsula (King George Island) after similar to 650 cal. yr BP (similar to AD 1300), broadly contemporaneous with the 'Little Ice Age', as defined in Europe. During that time, the glacier extended less than 400-500 in beyond its present-day margin. Moreover, radiocarbon data indicate that this was the most extensive advance of the last 3500 cal. years. Prior to similar to 650 cal. yr BP, the ice must have been at or behind its present position. Furthermore, the data indicate that climate conditions prior to the late-Holocene advance may have been similar to (or possibly wanner than) today.</t>
  </si>
  <si>
    <t>[Hall, Brenda L.] Univ Maine, Dept Earth Sci, Orono, ME 04469 USA; [Hall, Brenda L.] Univ Maine, Climate Change Inst, Orono, ME 04469 USA</t>
  </si>
  <si>
    <t>University of Maine System; University of Maine Orono; University of Maine System; University of Maine Orono</t>
  </si>
  <si>
    <t>Hall, BL (corresponding author), Univ Maine, Dept Earth Sci, Orono, ME 04469 USA.</t>
  </si>
  <si>
    <t>BrendaH@maine.edu</t>
  </si>
  <si>
    <t>SAGE PUBLICATIONS LTD</t>
  </si>
  <si>
    <t>1 OLIVERS YARD, 55 CITY ROAD, LONDON EC1Y 1SP, ENGLAND</t>
  </si>
  <si>
    <t>0959-6836</t>
  </si>
  <si>
    <t>Holocene</t>
  </si>
  <si>
    <t>10.1177/0959683607085132</t>
  </si>
  <si>
    <t>254NQ</t>
  </si>
  <si>
    <t>WOS:000252593700017</t>
  </si>
  <si>
    <t>Marchant, DR; Head, JW</t>
  </si>
  <si>
    <t>Marchant, David R.; Head, James W., III</t>
  </si>
  <si>
    <t>Antarctic dry valleys: Microclimate zonation, variable geomorphic processes, and implications for assessing climate change on Mars</t>
  </si>
  <si>
    <t>ICARUS</t>
  </si>
  <si>
    <t>Earth; geological processes; ices; Mars; climate; Mars; surface</t>
  </si>
  <si>
    <t>SOUTHERN VICTORIA LAND; ORBITER LASER ALTIMETER; MIOCENE GLACIER ICE; DON-JUAN POND; MERIDIANI-PLANUM; TRANSANTARCTIC-MOUNTAINS; MARTIAN GULLIES; TAYLOR VALLEY; BEACON VALLEY; LIQUID WATER</t>
  </si>
  <si>
    <t>The Antarctic Dry Valleys (ADV) are generally classified as a hyper-arid, cold-polar desert. The region has long been considered an important terrestrial analog for Mars because of its generally cold and dry climate and because it contains a suite of landforms at macro-, meso-, and microscales that closely resemble those occurring on the martian surface. The extreme hyperaridity of both Mars and the ADV has focused attention on the importance of salts and brines on soil development, phase transitions from liquid water to water ice, and ultimately, on process geomorphology and landscape evolution at a range of scales on both planets. The ADV can be subdivided into three microclimate zones: a coastal thaw zone, an inland mixed zone, and a stable upland zone; zones are defined on the basis of summertime measurements of atmospheric temperature, soil moisture, and relative humidity. Subtle variations in these climate parameters result in considerable differences in the distribution and morphology of: (1) macroscale features (e.g., slopes and gullies); (2) mesoscale features (e.g., polygons, including ice-wedge, sand-wedge, and sublimation-type polygons, as well as viscous-flow features, including solifluction lobes, gelifluction lobes, and debris-covered glaciers); and (3) microscale features (e.g., rock-weathering processes/features, including salt weathering, wind erosion, and surface pitting). Equilibrium landforms are those features that formed in balance with environmental conditions within fixed microclimate zones. Some equilibrium landforms, such as sublimation polygons, indicate the presence of extensive near-surface ice; identification of similar landforms on Mars may also provide a basis for detecting the location of shallow ice. Landforms that today appear in disequilibrium with local microclimate conditions in the ADV signify past and/or ongoing shifts in climate zonation; understanding these shifts is assisting in the documentation of the climate record for the ADV. A similar type of landform analysis can be applied to the surface of Mars where analogous microclimates and equilibrium landforms occur (1) in a variety of local environments, (2) in different latitudinal bands, and (3) in units of different ages. Documenting the nature and evolution of the ADV microclimate zones and their associated geomorphic processes is helping to provide a quantitative framework for assessing the evolution of climate on Mars. (c) 2007 Elsevier Inc. All rights reserved.</t>
  </si>
  <si>
    <t>[Marchant, David R.] Boston Univ, Dept Earth Sci, Boston, MA 02215 USA; [Head, James W., III] Brown Univ, Dept Geol Sci, Providence, RI 02912 USA</t>
  </si>
  <si>
    <t>Boston University; Brown University</t>
  </si>
  <si>
    <t>Marchant, DR (corresponding author), Boston Univ, Dept Earth Sci, Boston, MA 02215 USA.</t>
  </si>
  <si>
    <t>marchant@bu.edu; james_head@brown.edu</t>
  </si>
  <si>
    <t>ACADEMIC PRESS INC ELSEVIER SCIENCE</t>
  </si>
  <si>
    <t>525 B ST, STE 1900, SAN DIEGO, CA 92101-4495 USA</t>
  </si>
  <si>
    <t>0019-1035</t>
  </si>
  <si>
    <t>1090-2643</t>
  </si>
  <si>
    <t>Icarus</t>
  </si>
  <si>
    <t>DEC 1</t>
  </si>
  <si>
    <t>10.1016/j.icarus.2007.06.018</t>
  </si>
  <si>
    <t>241JL</t>
  </si>
  <si>
    <t>WOS:000251652600012</t>
  </si>
  <si>
    <t>Chereskin, TK; Tarling, GA</t>
  </si>
  <si>
    <t>Chereskin, T. K.; Tarling, G. A.</t>
  </si>
  <si>
    <t>Interannual to diurnal variability in the near-surface scattering layer in Drake Passage</t>
  </si>
  <si>
    <t>ICES JOURNAL OF MARINE SCIENCE</t>
  </si>
  <si>
    <t>acoustic backscatter; Drake Passage; long-term changes; regional variations; seasonal variations; Southern Ocean; vertical migration</t>
  </si>
  <si>
    <t>SOUTH SHETLAND ISLANDS; VERTICAL MIGRATION; EUPHAUSIA-SUPERBA; COMMUNITY STRUCTURE; ANTARCTIC KRILL; SCOTIA SEA; ZOOPLANKTON; ABUNDANCE; CLIMATE; BIOMASS</t>
  </si>
  <si>
    <t>Backscattering strength was estimated from 127 shipboard surveys with an acoustic Doppler current profiler (ADCP) made during Drake Passage transits from 1999 to 2004. The backscattering strength is used to determine the characteristics of the near-surface scattering layer, which south of the Southern Antarctic Circumpolar Current Front (SACCF) is dominated by Antarctic krill (Euphausia superba). Diel vertical migration in the upper 150 m was the dominant variability observed in any single transect. When averaged over depth, there was a well-defined annual cycle in backscattering strength, with a factor of four increase from a late-winter minimum to a spring-summer maximum over a period of four months, followed by a more gentle decline during late summer and autumn. in addition, there were significant differences in scattering strength north and south of the Polar Front (PF) on both seasonal and interannnual time-scales. The average summer maximum to the north of the PF was more than twice the maximum to the south, but the winter minima were about the same. On interannual time-scales, scattering strength south of the PF displayed a negative linear trend primarily attributable to a fourfold decrease in backscattering strength south of the SACCF. No significant long-term trend in the scattering strength north of the SACCF was observed.</t>
  </si>
  <si>
    <t>[Chereskin, T. K.] Scripps Inst Oceanog, La Jolla, CA 92093 USA; [Tarling, G. A.] British Antarctic Survey, NERC, Cambridge CB3 0ET, England</t>
  </si>
  <si>
    <t>University of California System; University of California San Diego; Scripps Institution of Oceanography; UK Research &amp; Innovation (UKRI); Natural Environment Research Council (NERC); NERC British Antarctic Survey</t>
  </si>
  <si>
    <t>Chereskin, TK (corresponding author), Scripps Inst Oceanog, La Jolla, CA 92093 USA.</t>
  </si>
  <si>
    <t>tchereskin@ucsd.edu</t>
  </si>
  <si>
    <t>1054-3139</t>
  </si>
  <si>
    <t>1095-9289</t>
  </si>
  <si>
    <t>ICES J MAR SCI</t>
  </si>
  <si>
    <t>ICES J. Mar. Sci.</t>
  </si>
  <si>
    <t>10.1093/icesjms/fsm138</t>
  </si>
  <si>
    <t>246PM</t>
  </si>
  <si>
    <t>WOS:000252019300001</t>
  </si>
  <si>
    <t>Bhalla, SN; Khare, N; Shanmukha, DH; Henriques, PJ</t>
  </si>
  <si>
    <t>Bhalla, S. N.; Khare, N.; Shanmukha, D. H.; Henriques, P. J.</t>
  </si>
  <si>
    <t>Foraminiferal studies in nearshore regions of western coast of India and Laccadives Islands: A review</t>
  </si>
  <si>
    <t>INDIAN JOURNAL OF MARINE SCIENCES</t>
  </si>
  <si>
    <t>foraminifera; west coast of India; Laccadives Islands; bibliography of the foraminiferal studies; Arabian Sea; taxonomy; culture; review of foraminifera</t>
  </si>
  <si>
    <t>ARABIAN SEA; INNER SHELF; PLANKTONIC-FORAMINIFERA; BENTHIC FORAMINIFERA; PALEOMONSOONAL PRECIPITATION; MONSOONAL PRECIPITATION; CONTINENTAL-MARGIN; SURFACE SEDIMENTS; CLUSTER-ANALYSIS; RIVER DISCHARGE</t>
  </si>
  <si>
    <t>The literature published on foraminiferal investigations carried out till date on nearshore, shallow water regions up to a depth of 50 in, along western coast of India, including Laccadive Archipelago has been reviewed. The aim is to prepare a bibliography of the foraminiferal studies from the tropical Arabian Sea bordering west coast of India and to highlight the major contribution made towards various studies of foraminifera. The review shows that most of the studies discussed taxonomical and/or ecological aspects as evident by 53 publications, followed by 21 papers on paleoenvironment/etimate/monsoons, etc., and only 3 papers on modem environmental implications. Besides other applied aspects of foraminifera, studies on a few new fields such as laboratory culture, molecular systematic analysis, isotopic studies, trace elements analysis, etc., have also been initiated on the foraminifera collected along western coast of India.</t>
  </si>
  <si>
    <t>[Shanmukha, D. H.] CSIR, Natl Inst Oceanog, Panaji 403004, Goa, India; [Henriques, P. J.] Univ Mumbai, St Xavier Coll, Bombay 400032, Maharashtra, India; [Khare, N.] Natl Ctr Antarctic &amp; Ocean Res, Minist Earth Sci, Vasco Da Gama 403804, Goa, India</t>
  </si>
  <si>
    <t>Council of Scientific &amp; Industrial Research (CSIR) - India; CSIR - National Institute of Oceanography (NIO); St. Xavier's College Mumbai; University of Mumbai; Ministry of Earth Sciences (MoES) - India; National Centre for Polar and Ocean Research (NCPOR)</t>
  </si>
  <si>
    <t>Bhalla, SN (corresponding author), A-525,Sarita Vihar, New Delhi 110076, India.</t>
  </si>
  <si>
    <t>satbhalla@gmail.com</t>
  </si>
  <si>
    <t>NATL INST SCIENCE COMMUNICATION</t>
  </si>
  <si>
    <t>DR K S KRISHNAN MARG, NEW DELHI 110 012, INDIA</t>
  </si>
  <si>
    <t>0379-5136</t>
  </si>
  <si>
    <t>INDIAN J MAR SCI</t>
  </si>
  <si>
    <t>Indian J. Mar. Sci.</t>
  </si>
  <si>
    <t>265LD</t>
  </si>
  <si>
    <t>WOS:000253359500003</t>
  </si>
  <si>
    <t>Sinha, DK; Singh, AK</t>
  </si>
  <si>
    <t>Sinha, Devesh K.; Singh, Ashutosh Kumar</t>
  </si>
  <si>
    <t>Surface circulation in the eastern Indian Ocean during last 5 million years: Planktic foraminiferal evidences</t>
  </si>
  <si>
    <t>planktic foraminifera; ocean circulation; Pliocene; Pleistocene; Indian ocean; foraminiferal evidence; circulation; West Australian current; Indonesian seaway; Leeuwin current</t>
  </si>
  <si>
    <t>PACIFIC WARM POOL; EARLY PLIOCENE; WESTERN PACIFIC; GLACIAL MAXIMUM; LEEUWIN CURRENT; ANTARCTIC GLACIATION; INDONESIAN SEAWAY; INDO-PACIFIC; GULF-STREAM; CLIMATES</t>
  </si>
  <si>
    <t>The paper describes the major circulation changes in the eastern Indian Ocean during last 5 million years based on variation planktic foraminiferal assemblages in various ODP and DSDP cores examined by various workers. The Late Miocene/Pliocene transition is characterized by weakening of the Leeuwin Current and migration of the polar front towards north. The early Pliocene is marked by closing of the Indonesian Seaway for surface waters and strengthening of the Leeuwin Current, a general warming of the surface waters and thickening of the mixed layer in the eastern Indian Ocean. The Late Pliocene and Pleistocene witnessed severe climatic fluctuations and episodic weakening and strengthening of the Leeuwin Current in response to either ENSO induced changes in the Western Pacific Warm Pool or lowering of sea level and reduction in Indonesian throughflow due to ice sheet expansion.</t>
  </si>
  <si>
    <t>[Sinha, Devesh K.] Univ Delhi, Ctr Adv Study Geol, Delhi 110007, India; [Singh, Ashutosh Kumar] Phys Res Lab, Planetary &amp; Geosci Div, Ahmadabad 380009, Gujarat, India</t>
  </si>
  <si>
    <t>University of Delhi; Department of Space (DoS), Government of India; Physical Research Laboratory - India</t>
  </si>
  <si>
    <t>Sinha, DK (corresponding author), Univ Delhi, Ctr Adv Study Geol, Delhi 110007, India.</t>
  </si>
  <si>
    <t>devasinha@yahoo.com</t>
  </si>
  <si>
    <t>Singh, Anil/JUU-2219-2023; Singh, Ashutosh Kumar/F-9731-2012</t>
  </si>
  <si>
    <t>Singh, Ashutosh Kumar/0000-0003-2616-0697</t>
  </si>
  <si>
    <t>0975-1033</t>
  </si>
  <si>
    <t>WOS:000253359500008</t>
  </si>
  <si>
    <t>Sharma, V; Devi, LB</t>
  </si>
  <si>
    <t>Sharma, V.; Devi, L. Bhagyapati</t>
  </si>
  <si>
    <t>Neogene oceanographic and climatic changes in the northern Indian Ocean: Evidence from Radiolaria</t>
  </si>
  <si>
    <t>radiolaria; Indian Ocean; Neogene; paleoceanography; paleoclimate; climatic changes; oceanographic changes; biochronology; circulation; upwelling; paleotemperature; monsoonal changes</t>
  </si>
  <si>
    <t>SURFACE-SEDIMENTS; ASSEMBLAGES; PALEOCEANOGRAPHY; STRATIGRAPHY; BIOGEOGRAPHY; INFERENCES; BASIN</t>
  </si>
  <si>
    <t>Neogene is one of the important periods in the earth's history in view of significant changes that took place during the period in climatic and oceanographic conditions. Radiolarians from well preserved cores, uplifted marine sequences, and surface sediments from the northern Indian Ocean provided opportunity to reconstruct the Neogene oceanographic and climatic events. Studies based on radiolarians from land-based sections revealed episodes of cooling and warming in the late Early Miocene to Middle Miocene. Investigations of radiolarian upwelling fauna in the cores from the western Arabian sea demonstrated strengthening and weakening of upwelling during late Middle Miocene to Recent. Examination of radiolarians from surface sediments suggested presence of Antarctic Bottom water in the Mozambique and Madagascar basins of the western Indian Ocean. Certain radiolarian species are found useful in understanding paleomonsoonal changes and have been used to interpret such changes.</t>
  </si>
  <si>
    <t>[Sharma, V.; Devi, L. Bhagyapati] Univ Delhi, Dept Geol, Delhi 110007, India</t>
  </si>
  <si>
    <t>University of Delhi</t>
  </si>
  <si>
    <t>Sharma, V (corresponding author), Univ Delhi, Dept Geol, Delhi 110007, India.</t>
  </si>
  <si>
    <t>vsharma752004@yahoo.co.in</t>
  </si>
  <si>
    <t>WOS:000253359500011</t>
  </si>
  <si>
    <t>Seibel, BA; Dymowska, A; Rosenthal, J</t>
  </si>
  <si>
    <t>Seibel, Brad A.; Dymowska, Agnieszka; Rosenthal, Joshua</t>
  </si>
  <si>
    <t>Metabolic temperature compensation and coevolution of locomotory performance in pteropod molluscs</t>
  </si>
  <si>
    <t>INTEGRATIVE AND COMPARATIVE BIOLOGY</t>
  </si>
  <si>
    <t>OXYGEN-CONSUMPTION RATES; CLIONE-LIMACINA PHIPPS; COLD ADAPTATION; ROSS SEA; GYMNOSOMATOUS PTEROPOD; ENZYMIC ACTIVITIES; MARINE ECTOTHERMS; ANTARCTIC FISHES; HABITAT DEPTH; POLAR FISH</t>
  </si>
  <si>
    <t>Gymnosomatous pteropods are highly specialized planktonic predators that feed exclusively on their thecosomatous relatives. Feeding behavior and the morphology of gymnosome feeding structures are diverse and have evolved in concert with the size, shape, and consistency of the thecosome shell. Here, we show that the metabolic capacity and locomotory behaviors of gymnosomes are similarly diverse and vary with those of their prey. Both gymnosomes and thecosomes range from gelatinous sit-and-wait forms to active predators with high-performance locomotory muscles. We find more than 10-fold variation in size-adjusted and temperature-adjusted metabolic rates within both the Gymnosomata and Thecosomata and a strong correlation between the metabolic rates of predators and of prey. Furthermore, these characteristics are strongly influenced by environmental parameters and predator and prey converge upon similar physiological capacities under similar selection. For example, compensation of locomotory capacity in cold waters leads to elevated metabolic rates in polar species. This highly coevolved system is discussed in terms of a predator-prey arms race and the impending loss of both predator and prey as elevated atmospheric carbon dioxide levels threaten to dissolve prey shells via oceanic acidification.</t>
  </si>
  <si>
    <t>[Seibel, Brad A.; Dymowska, Agnieszka] Univ Rhode Isl, Dept Biol Sci, Kingston, RI 02881 USA; [Dymowska, Agnieszka] Univ Oslo, Dept Mol Biosci, N-0316 Oslo, Norway; [Rosenthal, Joshua] Univ Puerto Rico, Inst Neurobiol, San Juan, PR 00901 USA</t>
  </si>
  <si>
    <t>University of Rhode Island; University of Oslo; University of Puerto Rico</t>
  </si>
  <si>
    <t>Seibel, BA (corresponding author), Univ Rhode Isl, Dept Biol Sci, 100 Flagg Rd, Kingston, RI 02881 USA.</t>
  </si>
  <si>
    <t>seibel@uri.edu</t>
  </si>
  <si>
    <t>OXFORD UNIV PRESS INC</t>
  </si>
  <si>
    <t>CARY</t>
  </si>
  <si>
    <t>JOURNALS DEPT, 2001 EVANS RD, CARY, NC 27513 USA</t>
  </si>
  <si>
    <t>1540-7063</t>
  </si>
  <si>
    <t>INTEGR COMP BIOL</t>
  </si>
  <si>
    <t>Integr. Comp. Biol.</t>
  </si>
  <si>
    <t>10.1093/icb/icm089</t>
  </si>
  <si>
    <t>240HJ</t>
  </si>
  <si>
    <t>WOS:000251578400009</t>
  </si>
  <si>
    <t>Palinkas, LA; Reedy, KR; Smith, M; Anghel, M; Steel, GD; Reeves, D; Shurtleff, D; Case, HS; Van Do, N; Reed, HL</t>
  </si>
  <si>
    <t>Palinkas, Lawrence A.; Reedy, Kathleen R.; Smith, Mark; Anghel, Mihai; Steel, Gary D.; Reeves, Dennis; Shurtleff, David; Case, H. Samuel; Van Do, Nhan; Reed, H. Lester</t>
  </si>
  <si>
    <t>Psychoneuroendocrine effects of combined thyroxine and triiodothyronine versus tyrosine during prolonged antarctic residence</t>
  </si>
  <si>
    <t>INTERNATIONAL JOURNAL OF CIRCUMPOLAR HEALTH</t>
  </si>
  <si>
    <t>mood; cognition; cold; thyroid hormones; clinical trial; tyrosine</t>
  </si>
  <si>
    <t>SEASONAL AFFECTIVE-DISORDER; SUBCLINICAL HYPOTHYROIDISM; THYROID-HORMONE; PITUITARY; PERFORMANCE; LEVOTHYROXINE; RESPONSES; SYMPTOMS; THERAPY; TSH</t>
  </si>
  <si>
    <t>Objectives. We previously reported that cognitive function improves with thyroxine and that there is a circannual pattern to mood and human TSH during Antarctic residence. To extend these findings, we examined the effects of tyrosine and a combined levothyroxine/liothyronine supplement in euthyroid men and women who spent the austral summer (n=43) and/or winter (n=42) in Antarctica. Study Design. Randomized, placebo-controlled, clinical trial. Methods. Subjects were randomized to receive the following each day for 91.6 +/- 3.2 days in summer and/or 138.0 +/- 3.2 days in winter: (1) 12g tyrosine mixed in 113g applesauce; (2) 50ug of levothyroxine and 12.5ug of liothyronine (T4-T3 Supplement); or (3) placebo. Cognitive performance and mood were assessed using the Automatic Neuropsychological Assessment Metric-Isolated and Confined Environments. Results. With placebo in summer, mood did not change while TSH decreased by 28%; in winter, there was a 136% degradation in mood (p &lt; 0.01) and TSH increased by 18%. With combined T4-T3 supplement, there was a 51% degradation in mood in summer compared with placebo (p &lt; 0.05) and TSH decreased by 57%; in winter there was a 135% degradation in mood while TSH was reduced by 26% (p &lt; 0.05). Tyrosine use in summer was associated with no change in mood and a 30% decline in TSH, while in winter there was a 47% improvement in mood and TSH decreased by 28% along with a 6% increase in fT3 (p &lt; 0.05). Conclusions. Administration of tyrosine leads to a significant reduction in serum TSH and improvement in mood in winter compared with placebo, while the combined T4-T3 supplement leads to a worsening of mood in summer and no improvement in winter. There appears to be a seasonal influence on the psychological response to interventions and the relationship to changes Zn in TSH reductions.</t>
  </si>
  <si>
    <t>[Palinkas, Lawrence A.] Univ So Calif, Sch Social Work, Los Angeles, CA 90089 USA; [Palinkas, Lawrence A.] Univ So Calif, Dept Anthropol, Los Angeles, CA 90089 USA; [Palinkas, Lawrence A.] Univ So Calif, Dept Prevent Med, Los Angeles, CA 90089 USA; [Reedy, Kathleen R.] US FDA, Silver Spring, MD USA; [Smith, Mark] George Washington Univ, Dept Psychiat, Washington, DC USA; [Anghel, Mihai] Univ Calif San Diego, Dept Family &amp; Prevent Med, San Diego, CA 92103 USA; [Steel, Gary D.] Lincoln Univ, Environm Society &amp; Design Div, Christchurch, New Zealand; [Case, H. Samuel] McDaniel Coll, Dept Exercise Sci &amp; Phys Educ, Westminster, MD USA; [Van Do, Nhan] Madigan Army Med Ctr, Dept Med, Endocrine Serv, Tacoma, WA 98431 USA; [Reed, H. Lester] MultiCare Hlth Syst, Tacoma, WA USA</t>
  </si>
  <si>
    <t>University of Southern California; University of Southern California; University of Southern California; US Food &amp; Drug Administration (FDA); George Washington University; University of California System; University of California San Diego; Lincoln University - New Zealand; Madigan Army Medical Center</t>
  </si>
  <si>
    <t>Palinkas, LA (corresponding author), Univ So Calif, Sch Social Work, 669 W 34th St, Los Angeles, CA 90089 USA.</t>
  </si>
  <si>
    <t>palinkos@usc.edu</t>
  </si>
  <si>
    <t>; Steel, Gary/P-6729-2018</t>
  </si>
  <si>
    <t>Do, Nhan/0000-0001-6868-7011; Steel, Gary/0000-0002-8499-9709</t>
  </si>
  <si>
    <t>1239-9736</t>
  </si>
  <si>
    <t>2242-3982</t>
  </si>
  <si>
    <t>INT J CIRCUMPOL HEAL</t>
  </si>
  <si>
    <t>Int. J. Circumpolar Health</t>
  </si>
  <si>
    <t>251YB</t>
  </si>
  <si>
    <t>WOS:000252410900005</t>
  </si>
  <si>
    <t>Lee, K; Lee, HK; Choi, TH; Cho, JC</t>
  </si>
  <si>
    <t>Lee, Kiyoung; Lee, Hong Kum; Choi, Tae-Hwan; Cho, Jang-Cheon</t>
  </si>
  <si>
    <t>Sejongia marina sp nov., isolated from Antarctic seawater</t>
  </si>
  <si>
    <t>GEN. NOV.; BACTERIAL SYSTEMATICS; COMB. NOV; RECLASSIFICATION; TREES</t>
  </si>
  <si>
    <t>A Gram-negative, psychrotolerant, chemoheterotrophic, aerobic, non-gliding, non-motile, yellow-pigmented bacterium, designated IMCC3228(T), was isolated from coastal seawater of the Antarctic. On the basis of 16S rRNA gene sequence comparisons, the strain was most closely related to the genera Sejongia (95.3-96.1 %) and Chryseobacterium (94.2-95.9%) in the family Flavobacteriaceae. Phylogenetic trees generated using several treeing algorithms based on 16S rRNA gene sequences showed that this Antarctic marine isolate formed a distinct phyletic line within the genus Sejongia. The DNA G+C content of the strain was 35.0 mol% and the major respiratory quinone was MK-6. Several phenotypic and chemotaxonomic characteristics, including temperature and NaCl optima for growth, oxidase activity and the proportions of major cellular fatty acids, served to differentiate the strain from the recognized species of the genus Sejongia. Therefore strain IMCC3228(T) represents a novel species of the genus Sejongia, for which the name Sejongia marina sp. nov. is proposed. The type strain is IMCC3228(T) (=KCCM 42689(T) =NBRC 103143(T)).</t>
  </si>
  <si>
    <t>[Lee, Kiyoung; Choi, Tae-Hwan; Cho, Jang-Cheon] Inha Univ, Div Biol &amp; Ocean Sci, Inchon 402751, South Korea; [Lee, Hong Kum] KOPRI, Korea Polar Res Inst, Polar BioCtr, Inchon 406840, South Korea</t>
  </si>
  <si>
    <t>Inha University; Korea Polar Research Institute (KOPRI); Korea Institute of Ocean Science &amp; Technology (KIOST)</t>
  </si>
  <si>
    <t>Cho, JC (corresponding author), Inha Univ, Div Biol &amp; Ocean Sci, Inchon 402751, South Korea.</t>
  </si>
  <si>
    <t>chojc@inha.ac.kr</t>
  </si>
  <si>
    <t>Cho, Jang-Cheon/B-4676-2013</t>
  </si>
  <si>
    <t>Cho, Jang-Cheon/0000-0002-0666-3791</t>
  </si>
  <si>
    <t>10.1099/ijs.0.65279-0</t>
  </si>
  <si>
    <t>245YX</t>
  </si>
  <si>
    <t>WOS:000251975800034</t>
  </si>
  <si>
    <t>Choi, TH; Lee, HK; Lee, K; Cho, JC</t>
  </si>
  <si>
    <t>Choi, Tae-Hwan; Lee, Hong Kum; Lee, Kiyoung; Cho, Jang-Cheon</t>
  </si>
  <si>
    <t>Ulvibacter antarcticus sp nov., isolated from Antarctic coastal seawater</t>
  </si>
  <si>
    <t>GEN. NOV.; MARINE BACTERIUM; COMB. NOV; FLAVOBACTERIACEAE; RECLASSIFICATION; SEQUENCES; FAMILY; TREES</t>
  </si>
  <si>
    <t>A seawater bacterium, designated IMCC3101(T), was isolated from Antarctic coastal seawater. The strain was Gram-negative, chemoheterotrophic, obligately aerobic, pigmented dark yellow (flexirubin-type pigments) and devoid of gliding and flagellar motility. On the basis of 16S rRNA gene sequence comparisons, the most closely related species was Ulvibacter litoralis (96.6%). Phylogenetic trees generated by using 16S rRNA gene sequences confirmed that the strain belonged to the genus Ulvibacter in the family Flavobacteriaceae, The DNA G+C content was 37.0 mol% and the major respiratory quinone was MK-6, Several phenotypic characteristics, including cell and colony morphology, the absence of gliding motility and the temperature range for growth, serve to differentiate the strain from the only species in the genus Ulvibacter with a validly published name (U. litoralis). Therefore, strain IMCC3101(T) represents a novel species of the genus Ulvibacter, for which the name Ulvibacter antarcticus sp. nov. is proposed. The type strain is IMCC3101(T) (=KCCM 42686(T) =NBRC 102682(T)).</t>
  </si>
  <si>
    <t>[Choi, Tae-Hwan; Lee, Kiyoung; Cho, Jang-Cheon] Inha Univ, Div Biol &amp; Ocean Sci, Inchon 402751, South Korea; [Lee, Hong Kum] KOPRI, Korea Polar Res Inst, Polar BioCtr, Inchon 406840, South Korea</t>
  </si>
  <si>
    <t>10.1099/ijs.0.65265-0</t>
  </si>
  <si>
    <t>WOS:000251975800035</t>
  </si>
  <si>
    <t>Vakulenko, NV; Kotlyakov, VM; Monin, AS; Sonechkin, DM</t>
  </si>
  <si>
    <t>Vakulenko, N. V.; Kotlyakov, V. M.; Monin, A. S.; Sonechkin, D. M.</t>
  </si>
  <si>
    <t>Significant features of the calendar of the late Pleistocene glacial cycles</t>
  </si>
  <si>
    <t>IZVESTIYA ATMOSPHERIC AND OCEANIC PHYSICS</t>
  </si>
  <si>
    <t>EARTHS OBLIQUITY; WAVELET; MODULATION</t>
  </si>
  <si>
    <t>Comparison of the delta D deuterium record in the ice cores at the Antarctic Vostok and Dome C stations with the delta(18) oxygen isotope in bottom oceanic sediments has elucidated the boundaries of glacial cycles in the late Pleistocene and revealed their inner symmetry: the longer the cycles, the more distant they were from the interglacial that occurred approximately 400 kyr ago. The symmetry is also manifested in the reversal of the sawtooth sequence of the cycles in that period. Wavelet analysis shows that symmetry was induced by amplitude modulation of climate oscillations on the precession and obliquity time scales and by frequency modulation on the scales of the eccentricity of the Earth's orbital motion around the Sun.</t>
  </si>
  <si>
    <t>[Vakulenko, N. V.; Monin, A. S.; Sonechkin, D. M.] Russian Acad Sci, Shirshov Inst Oceanol, Moscow 117997, Russia; [Kotlyakov, V. M.] Russian Acad Sci, Inst Geog, Moscow 119017, Russia</t>
  </si>
  <si>
    <t>Russian Academy of Sciences; Shirshov Institute of Oceanology; Russian Academy of Sciences; Institute of Geography, Russian Academy of Sciences</t>
  </si>
  <si>
    <t>Sonechkin, DM (corresponding author), Russian Acad Sci, Shirshov Inst Oceanol, Nakhimovskii Pr 36, Moscow 117997, Russia.</t>
  </si>
  <si>
    <t>dsonesh@mecom.ru</t>
  </si>
  <si>
    <t>Vakulenko, Nadezda/0000-0003-4385-8659; Sonechkin, Dmitry/0000-0003-3771-3824</t>
  </si>
  <si>
    <t>0001-4338</t>
  </si>
  <si>
    <t>1555-628X</t>
  </si>
  <si>
    <t>IZV ATMOS OCEAN PHY+</t>
  </si>
  <si>
    <t>Izv. Atmos. Ocean. Phys.</t>
  </si>
  <si>
    <t>10.1134/S0001433807060059</t>
  </si>
  <si>
    <t>243KG</t>
  </si>
  <si>
    <t>WOS:000251794700005</t>
  </si>
  <si>
    <t>Wong, CY; Chu, WL; Marchant, H; Phang, SM</t>
  </si>
  <si>
    <t>Wong, C. Y.; Chu, W. L.; Marchant, H.; Phang, S. M.</t>
  </si>
  <si>
    <t>Comparing the response of Antarctic, tropical and temperate microalgae to ultraviolet radiation (UVR) stress</t>
  </si>
  <si>
    <t>JOURNAL OF APPLIED PHYCOLOGY</t>
  </si>
  <si>
    <t>6th Asia-Pacific Conference on Algal Biotechnology (APCAB)</t>
  </si>
  <si>
    <t>OCT 12-15, 2006</t>
  </si>
  <si>
    <t>Makati City, PHILIPPINES</t>
  </si>
  <si>
    <t>Antarctic algae; ultraviolet radiation (UVR); Chlorella; Chlamydomonas; diatoms</t>
  </si>
  <si>
    <t>INDUCED DNA-DAMAGE; PHYTOPLANKTON ASSEMBLAGES; OZONE DEPLETION; B IRRADIATION; GROWTH; INHIBITION; PROTECTION; ARGENTINA; NITZSCHIA; EXPOSURE</t>
  </si>
  <si>
    <t>The response of Antarctic, tropical and temperate microalgae of similar taxonomic grouping to ultraviolet radiation (UVR) stress was compared based on their growth and fatty acid profiles. Microalgae of similar taxa from the Antarctic (Chlamydomonas UMACC 229, Chlorella UMACC 237 and Navicula UMACC 231), tropical (Chlamydomonas augustae UMACC 246, Chlorella vulgaris UMACC 001 and Amphiprora UMACC 259) and temperate (Chlamydomonas augustae UMACC 247, Chlorella vulgaris UMACC 248 and Navicula incerta UMACC 249) regions were exposed to different UVR conditions. The cultures were exposed to the following conditions: PAR (42 mu mol photons m(-2) s(-1)), PAR + UVA (854 mu W cm(-2)) and PAR + UVA + UVB (117 mu W cm(-2)). The cultures were subjected to UVA doses of 46.1, 92.2 and 184.4 J cm(-2) and UVB doses of 6.3, 12.6 and 25.2 J cm(-2) by Varying the duration of their exposure (1.5, 3 and 6 h) to UVR during the light period (12:12 h light-dark cycle). UVA did not affect the growth of the microalgae, even at the highest dose. In contrast, growth was adversely affected by UVB, especially at the highest dose. The dose that caused 50% inhibition (ID50) in growth was used to assess the sensitivity of the microalgae to UVB. Sensitivity of the microalgae to UVB was species-dependent and also dependent on their biogeographic origin. Of the nine microalgae, the Antarctic Chlorella was most tolerant to UVB stress (ID50=21.0 J cm(-2)). Except for this Chlorella, the percentage of polyunsaturated fatty acids of the microalgae decreased in response to high doses of UVB. Fatty acid profile is a useful biomarker for UVB stress for some microalgae.</t>
  </si>
  <si>
    <t>[Chu, W. L.] Int Med Univ, Kuala Lumpur 57000, Malaysia; [Chu, W. L.; Phang, S. M.] Univ Malaya, Inst Biol Sci, Kuala Lumpur 50603, Malaysia; [Marchant, H.] Australian Antarctic Div, Kingston, Tas 7050, Australia</t>
  </si>
  <si>
    <t>International Medical University Malaysia; Universiti Malaya; Australian Antarctic Division</t>
  </si>
  <si>
    <t>Chu, WL (corresponding author), Int Med Univ, Plaza Komanwel, Kuala Lumpur 57000, Malaysia.</t>
  </si>
  <si>
    <t>wanloy_chu@imu.edu.my</t>
  </si>
  <si>
    <t>Yen, Wong Chiew/AFY-1719-2022; Phang, Siew Moi/A-7653-2008; Chu, Wan-Loy/A-6896-2011</t>
  </si>
  <si>
    <t>Wong, Chiew-Yen/0000-0003-0534-6206; Chu, Wan-Loy/0000-0002-1676-4131</t>
  </si>
  <si>
    <t>0921-8971</t>
  </si>
  <si>
    <t>1573-5176</t>
  </si>
  <si>
    <t>J APPL PHYCOL</t>
  </si>
  <si>
    <t>J. Appl. Phycol.</t>
  </si>
  <si>
    <t>10.1007/s10811-007-9214-3</t>
  </si>
  <si>
    <t>246XO</t>
  </si>
  <si>
    <t>WOS:000252041900012</t>
  </si>
  <si>
    <t>Hertzog, A; Cocquerez, P; Basdevant, C; Boccara, G; Bordereau, J; Brioit, B; Cardonne, A; Guilbon, R; Ravissot, A; Schmitt, E; Valdivia, JN; Venel, S; Vial, F</t>
  </si>
  <si>
    <t>Hertzog, Albert; Cocquerez, Philippe; Basdevant, Claude; Boccara, Gillian; Bordereau, Jerome; Brioit, Bernard; Cardonne, Alain; Guilbon, Rene; Ravissot, Alain; Schmitt, Eric; Valdivia, Jean-Noel; Venel, Stephanie; Vial, Francois</t>
  </si>
  <si>
    <t>Strateole/Vorcore - Long-duration, superpressure balloons to study the antarctic lower stratosphere during the 2005 winter</t>
  </si>
  <si>
    <t>JOURNAL OF ATMOSPHERIC AND OCEANIC TECHNOLOGY</t>
  </si>
  <si>
    <t>EQUATORIAL LOWER STRATOSPHERE; LOWER ATMOSPHERE; GRAVITY-WAVES; DYNAMICS; VORTEX; OZONE; HEMISPHERE; REVEAL</t>
  </si>
  <si>
    <t>In September and October 2005, the Strateole/Vorcore campaign flew 27 superpressure balloons from McMurdo, Antarctica, into the stratospheric polar vortex. Long-duration flights were successfully achieved, 16 of those flights lasting for more than 2 months. Most flights were terminated because they flew out of the authorized flight domain or because of energy shortage in the gondola. The atmospheric pressure (1-Pa precision) was measured every minute during the flights, whereas air temperature observations (0.25-K accuracy) and balloon positions (absolute GPS observations, 10-m accuracy) were obtained every 15 min. Fifteen-minute-averaged horizontal velocities of the wind were deduced from the successive balloon positions with a corresponding accuracy less than or similar to 0.1 m s(-1). The collected dataset (more than 150 000 independent observations) provides a thorough high-resolution sampling of the polar lower stratosphere in the Southern Hemisphere from its wintertime state up to the establishment of the summer circulation in December January. Most of the balloons stayed inside the vortex until its final breakdown, although a few were ejected toward the midlatitudes in November during filamention events associated with an increase in planetary wave activity. The balloons behaved as quasi-Lagrangian tracers during the first part of the campaign (quiescent vortex) and after the vortex breakdown in early December. Large-amplitude mountain gravity waves were detected over the Antarctic Peninsula and caused one flight termination associated with the sudden burst in the balloon superpressure.</t>
  </si>
  <si>
    <t>[Hertzog, Albert] Univ Paris 06, Meteorol Dynam Lab, IPSL, CNRS, Palaiseau, France; [Cocquerez, Philippe; Guilbon, Rene; Valdivia, Jean-Noel; Venel, Stephanie] Ctr Natl Etud Spatiales, F-31055 Toulouse, France; [Basdevant, Claude; Boccara, Gillian; Bordereau, Jerome; Brioit, Bernard; Vial, Francois] Ecole Polytech, Meteorol Dynam Lab, IPSL, CNRS, Palaiseau, France; [Cardonne, Alain; Ravissot, Alain; Schmitt, Eric] Ctr Natl Etud Spatiales, Aire sur Ladour, France</t>
  </si>
  <si>
    <t>Centre National de la Recherche Scientifique (CNRS); Universite Paris Cite; Sorbonne Universite; Institut Polytechnique de Paris; Sorbonne Universite; Centre National de la Recherche Scientifique (CNRS); Universite Paris Cite</t>
  </si>
  <si>
    <t>Hertzog, A (corresponding author), Ecole Polytech, Meteorol Dynam Lab, F-91128 Palaiseau, France.</t>
  </si>
  <si>
    <t>hertzog@lmd.polytechnique.fr</t>
  </si>
  <si>
    <t>Hertzog, Albert/A-2899-2012</t>
  </si>
  <si>
    <t>0739-0572</t>
  </si>
  <si>
    <t>1520-0426</t>
  </si>
  <si>
    <t>J ATMOS OCEAN TECH</t>
  </si>
  <si>
    <t>J. Atmos. Ocean. Technol.</t>
  </si>
  <si>
    <t>10.1175/2007JTECHA948.1</t>
  </si>
  <si>
    <t>Engineering, Ocean; Meteorology &amp; Atmospheric Sciences</t>
  </si>
  <si>
    <t>Engineering; Meteorology &amp; Atmospheric Sciences</t>
  </si>
  <si>
    <t>246IS</t>
  </si>
  <si>
    <t>WOS:000252001300005</t>
  </si>
  <si>
    <t>Murphy, D; French, WJR; Vincent, RA</t>
  </si>
  <si>
    <t>Murphy, D. J.; French, W. J. R.; Vincent, R. A.</t>
  </si>
  <si>
    <t>Long-period planetary waves in the mesosphere and lower thermosphere above Davis, Antarctica</t>
  </si>
  <si>
    <t>JOURNAL OF ATMOSPHERIC AND SOLAR-TERRESTRIAL PHYSICS</t>
  </si>
  <si>
    <t>2rd IAGA/ICMA on Vertical Coupling in the Atmosphere/Ionosphere System</t>
  </si>
  <si>
    <t>SEP 18-22, 2006</t>
  </si>
  <si>
    <t>Varna, BULGARIA</t>
  </si>
  <si>
    <t>planetary wave; dynamics; mesosphere/lower thermosphere; Antarctica; middle atmosphere; MF radar</t>
  </si>
  <si>
    <t>NONUNIFORM BACKGROUND CONFIGURATIONS; SOUTHERN WINTER TROPOSPHERE; ROSSBY NORMAL-MODES; 2-DAY WAVE; MIDDLE ATMOSPHERE; HYDROXYL AIRGLOW; 16-DAY WAVES; 5-DAY WAVE; 4-DAY WAVE; STRATOSPHERE</t>
  </si>
  <si>
    <t>The accumulation of MY radar wind and hydroxyl temperature measurements at Davis from 1997 to 2005 has enabled the compilation of a climatology of long-period (period &gt; 1 day) wave activity. A time domain filtering technique that makes allowance for the differing sampling characteristics of the measurements is described and wave amplitudes are presented for 1.7-4, 4-8 and 8-16 day period bands. Product averages of the time series yield horizontal heat (v'T') and momentum (u'v') fluxes for the height of the hydroxyl layer (approximately 86 km). The climatology is then discussed in terms of current knowledge of planetary wave characteristics and forcing. Heat and momentum fluxes during the year of the southern hemisphere stratospheric warming (2002) are also presented. (c) 2007 Elsevier Ltd. All rights reserved.</t>
  </si>
  <si>
    <t>[Murphy, D. J.; French, W. J. R.] Australian Antarctic Div, Kingston, Tas 7050, Australia; [Vincent, R. A.] Univ Adelaide, Dept Phys &amp; Math Phys, Adelaide, SA 5005, Australia</t>
  </si>
  <si>
    <t>Australian Antarctic Division; University of Adelaide</t>
  </si>
  <si>
    <t>Murphy, D (corresponding author), Australian Antarctic Div, Channel Highway, Kingston, Tas 7050, Australia.</t>
  </si>
  <si>
    <t>damian.murphy@aad.gov.au; john.french@aad.gov.au; robert.vincent@adelaide.edu.au</t>
  </si>
  <si>
    <t>Vincent, Robert A/E-5450-2013</t>
  </si>
  <si>
    <t>Vincent, Robert A/0000-0001-6559-6544; French, John/0000-0001-9305-6190</t>
  </si>
  <si>
    <t>1364-6826</t>
  </si>
  <si>
    <t>1879-1824</t>
  </si>
  <si>
    <t>J ATMOS SOL-TERR PHY</t>
  </si>
  <si>
    <t>J. Atmos. Sol.-Terr. Phys.</t>
  </si>
  <si>
    <t>17-18</t>
  </si>
  <si>
    <t>10.1016/j.jastp.2007.06.008</t>
  </si>
  <si>
    <t>Geochemistry &amp; Geophysics; Meteorology &amp; Atmospheric Sciences</t>
  </si>
  <si>
    <t>244BU</t>
  </si>
  <si>
    <t>WOS:000251841800004</t>
  </si>
  <si>
    <t>Sandford, DJ; Mitchell, NJ; Vincent, RA; Murphy, DJ</t>
  </si>
  <si>
    <t>Sandford, D. J.; Mitchell, N. J.; Vincent, R. A.; Murphy, D. J.</t>
  </si>
  <si>
    <t>The lunar tides in the Antarctic mesosphere and lower thermosphere</t>
  </si>
  <si>
    <t>lunar tide; climatology; middle atmosphere dynamics; remote sensing; tides and planetary waves</t>
  </si>
  <si>
    <t>SEMI-DIURNAL TIDE; UPPER-ATMOSPHERE; SASKATOON 52-DEGREES-N; ARCTIC MESOSPHERE; PLANETARY-WAVES; 8-HOUR TIDE; WINDS; ADELAIDE; 107-DEGREES-W; VARIABILITY</t>
  </si>
  <si>
    <t>Horizontal winds in the mesosphere and lower thermosphere over the Antarctic have been measured by a meteor radar at Rothera (67.5 degrees S, 68.0 degrees W) and MF radar at Davis (68.6 degrees S, 78.0 degrees E). Data from Rothera recorded over a 20-month interval in 2005-2006 and data from Davis recorded over the 13-year interval 1994-2006 are examined to investigate the monthly mean behaviour of the lunar semidiurnal tide. Both data sets show a clear signal of the 12.42-h lunar semidiurnal (M-2) tide. The amplitude reaches values as large as 8 in s(-1). The vertical wavelengths of the tide vary seasonally from similar to 10 to 65 km. Comparisons of the phase of the tide measured over the two sites reveals that it does not purely consist of a migrating wavenumber 2 mode. This suggests that other, non-migrating, inodes are likely to be present. (c) 2007 Elsevier Ltd. All rights reserved.</t>
  </si>
  <si>
    <t>[Sandford, D. J.; Mitchell, N. J.] Univ Bath, Ctr Space Atmospher &amp; Ocean Sci, Dept Elect &amp; Elect Engn, Bath BA2 7AY, Avon, England; [Vincent, R. A.] Univ Adelaide, Dept Phys, Adelaide, SA 5005, Australia; [Murphy, D. J.] Australian Antarctic Div, Kingston, Tas 7050, Australia</t>
  </si>
  <si>
    <t>University of Bath; University of Adelaide; Australian Antarctic Division</t>
  </si>
  <si>
    <t>Sandford, DJ (corresponding author), Univ Bath, Ctr Space Atmospher &amp; Ocean Sci, Dept Elect &amp; Elect Engn, Bath BA2 7AY, Avon, England.</t>
  </si>
  <si>
    <t>D.J.Sandford@bath.ac.uk</t>
  </si>
  <si>
    <t>Sandford, David J/A-4501-2008; Vincent, Robert A/E-5450-2013</t>
  </si>
  <si>
    <t>Vincent, Robert A/0000-0001-6559-6544</t>
  </si>
  <si>
    <t>Natural Environment Research Council [NE/E007384/1, NER/G/S/2003/00014] Funding Source: researchfish; NERC [NE/E007384/1] Funding Source: UKRI</t>
  </si>
  <si>
    <t>10.1016/j.jastp.2007.04.010</t>
  </si>
  <si>
    <t>WOS:000251841800008</t>
  </si>
  <si>
    <t>Lo Giudice, A; Brun, V; Michaud, L</t>
  </si>
  <si>
    <t>Lo Giudice, Angelina; Brun, Vivia; Michaud, Luigi</t>
  </si>
  <si>
    <t>Characterization of Antarctic psychrotrophic bacteria with antibacterial activities against terrestrial microorganisms</t>
  </si>
  <si>
    <t>JOURNAL OF BASIC MICROBIOLOGY</t>
  </si>
  <si>
    <t>Antarctic marine bacteria; inhibitory activity; seawater; sediment</t>
  </si>
  <si>
    <t>RESISTANT STAPHYLOCOCCUS-AUREUS; TERRA-NOVA BAY; GERMAN WADDEN SEA; MARINE-BACTERIA; ANTIMICROBIAL ACTIVITY; ROSS SEA; MEDITERRANEAN SPONGES; ICE; IMPACT; WATERS</t>
  </si>
  <si>
    <t>Five-hundreds and eighty bacterial strains, isolated from various Antarctic marine sources and locations, were screened for antimicrobial activity against terrestrial microorganisms. Twenty-two Antarctic isolates (3.8%), mainly retrieved from the water column at Terra Nova Bay (Ross Sea), expressed antagonistic activity against one to three indicator organisms. Escherichia coli and Proteus mirabilis resulted as the more susceptible, followed by Micrococcus luteus and Bacillus subtilis. None of the isolates inhibited the growth of Pseudomonas aeruginosa, Staphylococcus aureus, Salmonella enterica and the eukaryotic fungus Candida albicans. Active Antarctic isolates, identified by 16S rDNA sequencing and phenotypically characterized by classical methods, were phylogenetically affiliated to the Actinobacteria. (16 strains) and the gamma-Proteobacteria (6 strains). Inhibition patterns, as well as phenotypic characteristics, highly vary for different isolates, even though they were affiliated to the same genus or closely related to the identical microorganism retrieved from the database, suggesting that these features were more likely strain-rather than species-specific. Results obtained from the present study confirm previous observations and highlight the potentiality of Antarctic marine bacteria as novel source of antibacterial substances.</t>
  </si>
  <si>
    <t>[Lo Giudice, Angelina; Brun, Vivia; Michaud, Luigi] Univ Messina, DBAEM, CIBAN, I-98166 Messina, Italy</t>
  </si>
  <si>
    <t>Lo Giudice, A (corresponding author), Univ Messina, DBAEM, CIBAN, Salita Sperone 31, I-98166 Messina, Italy.</t>
  </si>
  <si>
    <t>alogiudice@unime.it</t>
  </si>
  <si>
    <t>0233-111X</t>
  </si>
  <si>
    <t>1521-4028</t>
  </si>
  <si>
    <t>J BASIC MICROB</t>
  </si>
  <si>
    <t>J. Basic Microbiol.</t>
  </si>
  <si>
    <t>10.1002/jobm.200700227</t>
  </si>
  <si>
    <t>250HO</t>
  </si>
  <si>
    <t>WOS:000252290800005</t>
  </si>
  <si>
    <t>Boyer, SL; Clouse, RM; Benavides, LR; Sharma, P; Schwendinger, PJ; Karunarathna, I; Giribet, G</t>
  </si>
  <si>
    <t>Boyer, Sarah L.; Clouse, Ronald M.; Benavides, Ligia R.; Sharma, P.; Schwendinger, Peter J.; Karunarathna, I.; Giribet, G.</t>
  </si>
  <si>
    <t>Biogeography of the world: a case study from cyphophthalmid Opiliones, a globally distributed group of arachnids</t>
  </si>
  <si>
    <t>JOURNAL OF BIOGEOGRAPHY</t>
  </si>
  <si>
    <t>Arachnida; Arthropoda; cyphophthalmi; Gondwana; New Caledonia; opiliones; pangea; phylogeny; Southeast Asia; vicariance biogeography</t>
  </si>
  <si>
    <t>MULTIPLE-SEQUENCE ALIGNMENT; PHYLOGENETIC ANALYSIS; DNA-SEQUENCES; GENUS; SYSTEMATICS; MORPHOLOGY; LITHOBIOMORPHA; CHELICERATA; CHILOPODA; EVOLUTION</t>
  </si>
  <si>
    <t>Aim To test the hypothesis that continental drift drives diversification of organisms through vicariance, we selected a group of primitive arachnids which originated before the break-up of Pangaea and currently inhabits all major landmasses with the exception of Antarctica, but lacks the ability to disperse across oceanic barriers. Location Major continental temperate to tropical landmasses (North America, South America, Eurasia, Africa, Australia) and continental islands (Bioko, Borneo, Japan, Java, New Caledonia, New Guinea, New Zealand, Sri Lanka, Sulawesi, Sumatra). Methods Five kb of sequence data from five gene regions for more than 100 cyphophthalmid exemplars were analysed phylogenetically using different methods, including direct optimization under parsimony and maximum likelihood under a broad set of analytical parameters. We also used geological calibration points to estimate gross phylogenetic time divergences. Results Our analyses show that all families except the Laurasian Sironidae are monophyletic and adhere to clear biogeographical patterns. Pettalidae is restricted to temperate Gondwana, Neogoveidae to tropical Gondwana, Stylocellidae to Southeast Asia, and Troglosironidae to New Caledonia. Relationships between the families inhabiting these landmasses indicate that New Caledonia is related to tropical Gondwana instead of to the Australian portion of temperate Gondwana. The results also concur with a Gondwanan origin of Florida, as supported by modern geological data. Main conclusions By studying a group of organisms with not only an ancient origin, low vagility and restricted habitats, but also a present global distribution, we have been able to test biogeographical hypotheses at a scale rarely attempted. Our results strongly support the presence of a circum-Antarctic clade of formerly temperate Gondwanan species, a clade restricted to tropical Gondwana and a Southeast Asian clade that originated from a series of early Gondwanan terranes that rifted off northwards from the Devonian to the Triassic and accreted to tropical Laurasia. The relationships among the Laurasian species remain more obscure.</t>
  </si>
  <si>
    <t>Harvard Univ, Dept Organism &amp; Evolut Biol, BioLabs 1119, Cambridge, MA 02138 USA; Harvard Univ, Museum Comparat Zool, Cambridge, MA 02138 USA; Univ Nacl Colombia, Inst Ciencias Nat, Bogota, Colombia; Museum Hist Nat, Dept Arthropodes &amp; Entomol 1, CH-1211 Geneva 6, Switzerland; Univ Peradeniya, Dept Zool, Peradeniya, Sri Lanka</t>
  </si>
  <si>
    <t>Harvard University; Harvard University; Universidad Nacional de Colombia; University of Peradeniya</t>
  </si>
  <si>
    <t>Giribet, G (corresponding author), Harvard Univ, Dept Organism &amp; Evolut Biol, BioLabs 1119, 16 Divin Ave, Cambridge, MA 02138 USA.</t>
  </si>
  <si>
    <t>ggiribet@oeb.harvard.edu</t>
  </si>
  <si>
    <t>Benavides, Ligia/AGJ-0202-2022; Sharma, Prashant/E-7826-2012; Karunarathna, Indika/AAY-5664-2021; Giribet, Gonzalo/P-1086-2015</t>
  </si>
  <si>
    <t>Giribet, Gonzalo/0000-0002-5467-8429</t>
  </si>
  <si>
    <t>0305-0270</t>
  </si>
  <si>
    <t>1365-2699</t>
  </si>
  <si>
    <t>J BIOGEOGR</t>
  </si>
  <si>
    <t>J. Biogeogr.</t>
  </si>
  <si>
    <t>10.1111/j.1365-2699.2007.01755.x</t>
  </si>
  <si>
    <t>231JF</t>
  </si>
  <si>
    <t>WOS:000250942200007</t>
  </si>
  <si>
    <t>Banks, HT; Stark, S; Keen, AB</t>
  </si>
  <si>
    <t>Banks, Helene T.; Stark, Sheila; Keen, Ann B.</t>
  </si>
  <si>
    <t>The adjustment of the coupled climate model HadGEM1 toward equilibrium and the impact on global climate</t>
  </si>
  <si>
    <t>ATLANTIC THERMOHALINE CIRCULATION; SEA-SURFACE TEMPERATURE; AGULHAS CURRENT; OCEAN MODEL; WATER; ICE; VARIABILITY; TRANSPORTS; SIMULATIONS; VERSION</t>
  </si>
  <si>
    <t>Coupled climate models generally have a small residual radiative flux at the top of the atmosphere. In the Met Office climate model, Hadley Centre Global Environmental Model version 1 (HadGEM1), it is incoming ( heating the planet) and reduces over a 350-yr period from 0.4 to 0.1 W m (-2). The process of the adjustment in HadGEM1 is examined and is shown to be linked to excessive heat gain. In the tropical and South Atlantic, cold, fresh Antarctic Intermediate Water is replaced by anomalously warm, salty intermediate water. The loss of Antarctic Intermediate Water in the South Atlantic is related to a weak Agulhas retroflection. The erosion is enhanced in the tropical Atlantic by strong upwelling. The warm, salty anomalies are advected northward outcropping in the North Atlantic subpolar gyre. In the outcrop zone, sea surface temperature and salinity are increased, which lead to an increase in global mean surface temperature and a reduction in the sea ice area. This adjusts the top of the atmosphere balance via increased outgoing longwave radiation and is partly offset by a decrease in outgoing shortwave radiation. The increased surface salinity triggers convection in the Labrador Sea and leads to a strong flushing of the thermohaline circulation. These results demonstrate that adjustment time scales for coupled climate models can be in excess of 350 yr. The potential implications of the adjustment time scale of climate models need to be considered when planning scenario and sensitivity experiments, as model drifts can be nonlinear.</t>
  </si>
  <si>
    <t>Met Off, Exeter EX1 3PB, Devon, England</t>
  </si>
  <si>
    <t>Met Office - UK</t>
  </si>
  <si>
    <t>Banks, HT (corresponding author), Met Off, Fitzroy Rd, Exeter EX1 3PB, Devon, England.</t>
  </si>
  <si>
    <t>helene.banks@metoffice.gov.uk</t>
  </si>
  <si>
    <t>Hewitt, Helene/0000-0001-7432-6001</t>
  </si>
  <si>
    <t>10.1175/2007JCLI1688.1</t>
  </si>
  <si>
    <t>239RG</t>
  </si>
  <si>
    <t>WOS:000251534800010</t>
  </si>
  <si>
    <t>Siegert, MJ; Gwendolyn, JMC; Vieli, L</t>
  </si>
  <si>
    <t>Siegert, Martin J.; Gwendolyn, J. -M. C.; Vieli, Leysinger</t>
  </si>
  <si>
    <t>Late glacial history of the Ross Sea sector of the West Antarctic ice sheet: Evidence from englacial layering at Talos Dome, East Antarctica. (vol 12, pg 63, 2007)</t>
  </si>
  <si>
    <t>JOURNAL OF ENVIRONMENTAL AND ENGINEERING GEOPHYSICS</t>
  </si>
  <si>
    <t>Siegert, Martin/M-9939-2019; Siegert, Martin J/A-3826-2008</t>
  </si>
  <si>
    <t>Siegert, Martin/0000-0002-0090-4806; Siegert, Martin J/0000-0002-0090-4806</t>
  </si>
  <si>
    <t>ENVIRONMENTAL ENGINEERING GEOPHYSICAL SOC</t>
  </si>
  <si>
    <t>DENVER</t>
  </si>
  <si>
    <t>1720 SOUTH BELLAIRE, STE 110, DENVER, CO 80222-433 USA</t>
  </si>
  <si>
    <t>1083-1363</t>
  </si>
  <si>
    <t>J ENVIRON ENG GEOPH</t>
  </si>
  <si>
    <t>J. Environ. Eng. Geophys.</t>
  </si>
  <si>
    <t>Geochemistry &amp; Geophysics; Engineering, Geological</t>
  </si>
  <si>
    <t>Geochemistry &amp; Geophysics; Engineering</t>
  </si>
  <si>
    <t>239NC</t>
  </si>
  <si>
    <t>WOS:000251524000007</t>
  </si>
  <si>
    <t>Delille, D; Gleizon, F; Delille, B</t>
  </si>
  <si>
    <t>Delille, Daniel; Gleizon, Fabien; Delille, Bruno</t>
  </si>
  <si>
    <t>Spatial and temporal variation of bacterioplankton in a sub-Antarctic coastal area (Kerguelen Archipelago)</t>
  </si>
  <si>
    <t>JOURNAL OF MARINE SYSTEMS</t>
  </si>
  <si>
    <t>phytoplankton; bacterioplankton; seasonal changes; diet changes; spatial distribution; Kerguelen Archipelago; sub-Antarctica</t>
  </si>
  <si>
    <t>DISSOLVED ORGANIC-MATTER; PHYTOPLANKTON BIOMASS; SEASONAL-CHANGES; INTERANNUAL VARIABILITY; COMMUNITY STRUCTURE; MARINE BACTERIOPLANKTON; BACTERIAL METABOLISM; PROTEIN-SYNTHESIS; LOW-TEMPERATURE; STATION KERFIX</t>
  </si>
  <si>
    <t>Bacterial abundance and production were measured monthly for one year along cross-shore transects in 3 sub-Antarctic fjords of the Kerguelen Archipelago (seven stations each). Mean values of the 3 most coastal (inside) and most offshore (outside) stations were used to describe the relationship between temperature, phytoplankton biomass, bacterial abundance and bacterial production over a one year annual cycle. The entire sampling protocol was repeated twice during each cruise: once at noon and once at midnight. Over the whole sampling period, the temperature ranged from 2.1 to 7.4 degrees C, while chlorophyll a concentrations varied by a factor of 10, and bacterial abundance and production varied by factors of 12 and 30, respectively. Within one day, all of these parameters sometimes varied by a factor of 4 between noon and midnight. A clear seasonality was observed for all of the parameters. However, while variations of phytoplankton and bacterial production paralleled those of temperature, bacterial abundance was low in midsummer and maximum in autumn. While no general pattern could be observed from the total data set, spatial gradients could interfere strongly with temporal changes. (C) 2007 Elsevier B.V All rights reserved.</t>
  </si>
  <si>
    <t>[Delille, Daniel; Gleizon, Fabien] Univ Paris 06, CNRS, URA 117, Lab Arago, F-66650 Banyuls sur Mer, France; [Delille, Bruno] Univ Liege, Unit Oceanog Chim, B-4000 Liege, Belgium</t>
  </si>
  <si>
    <t>Sorbonne Universite; Centre National de la Recherche Scientifique (CNRS); University of Liege</t>
  </si>
  <si>
    <t>Delille, D (corresponding author), Univ Paris 06, CNRS, URA 117, Lab Arago, F-66650 Banyuls sur Mer, France.</t>
  </si>
  <si>
    <t>daniel.delille@wanadoo.fr</t>
  </si>
  <si>
    <t>Daniel, Delille/S-9542-2019; Delille, Bruno/C-3486-2008</t>
  </si>
  <si>
    <t>Delille, Bruno/0000-0003-0502-8101</t>
  </si>
  <si>
    <t>0924-7963</t>
  </si>
  <si>
    <t>1879-1573</t>
  </si>
  <si>
    <t>J MARINE SYST</t>
  </si>
  <si>
    <t>J. Mar. Syst.</t>
  </si>
  <si>
    <t>10.1016/j.jmarsys.2007.02.007</t>
  </si>
  <si>
    <t>Geosciences, Multidisciplinary; Marine &amp; Freshwater Biology; Oceanography</t>
  </si>
  <si>
    <t>Geology; Marine &amp; Freshwater Biology; Oceanography</t>
  </si>
  <si>
    <t>244AD</t>
  </si>
  <si>
    <t>WOS:000251837500005</t>
  </si>
  <si>
    <t>Engvik, AK; Tveten, E; Bingen, B; Viola, G; Erambert, M; Feito, P; De Azavedo, S</t>
  </si>
  <si>
    <t>Engvik, A. K.; Tveten, E.; Bingen, B.; Viola, G.; Erambert, M.; Feito, P.; De Azavedo, S.</t>
  </si>
  <si>
    <t>P-T-t evolution and textural evidence for decompression of Pan-African high-pressure granulites, Lurio Belt, north-eastern Mozambique</t>
  </si>
  <si>
    <t>JOURNAL OF METAMORPHIC GEOLOGY</t>
  </si>
  <si>
    <t>corona textures; high-pressure granulites; isothermal decompression; Lurio Belt; Pan-African</t>
  </si>
  <si>
    <t>DRONNING-MAUD-LAND; HIGH-GRADE GNEISSES; FACIES METAMORPHISM; GARNET; TANZANIA; ECLOGITE; EVENTS; GROWTH; FLUID; ANTARCTICA</t>
  </si>
  <si>
    <t>Pan-African high-pressure granulites occur as boudins and layers in the Lurio Belt in north-eastern Mozambique, eastern Africa. Mafic granulites contain the mineral assemblage garnet + clinopyroxene + plagioclase + quartz +/- magnesiohastingsite. Garnet porphyroblasts are zoned with increasing almandine and spessartine contents and decreasing grossular and pyrope contents from core (Alm(46)Prp(32)Grs(21)Sps(2)) to rim (Alm(52)Prp(26)Grs(19)Sps(3)). This pattern is interpreted as a retrograde diffusion zoning with the preserved core chemistry representing the peak metamorphic composition. Mineral reaction textures occur in the form of monomineralic and composite plagioclase +/- orthopyroxene +/- amphibole +/- biotite +/- magnetite coronas around garnet porphyroblasts. Thermobarometry indicates peak metamorphic conditions of up to 1.57 +/- 0.14 GPa and 949 +/- 92 degrees C (stage I), corresponding to crustal depths of similar to 55 km. Zircon yielded an U-Pb age of 557 +/- 16 Ma, inferred to date crystallization of zircon during peak or immediately post-peak metamorphism. Formation of plagioclase + orthopyroxene-bearing coronas surrounding garnet indicates a near-isothermal decompression of the high-pressure granulites to lower pressure granulite facies conditions (stage II). Development of plagioclase + amphibole-coronas enclosing the same garnet porphyroblasts shows subsequent cooling into amphibolite facies conditions (stage III). Symplectitic textures of the corona assemblages indicate rapid decompression. The high-pressure granulite facies metamorphism of the Lurio Belt, followed by near-isothermal decompression and subsequent cooling, is in accordance with a long-lived tectonic history accompanied by high magmatic activity in the Lurio Belt during the late Neoproterozoic-early Palaeozoic East-African-Antarctic orogeny.</t>
  </si>
  <si>
    <t>Geol Survey Norway, N-7491 Trondheim, Norway; Univ Oslo, Inst Geosci, N-0316 Oslo, Norway; Natl Directorate Geol Mozambique, Maputo, Mozambique; Natl Directorate Geol Mozambique, Nampula, Mozambique</t>
  </si>
  <si>
    <t>Geological Survey of Norway; University of Oslo</t>
  </si>
  <si>
    <t>Engvik, AK (corresponding author), Geol Survey Norway, N-7491 Trondheim, Norway.</t>
  </si>
  <si>
    <t>ane.engvik@ngu.no</t>
  </si>
  <si>
    <t>Viola, Giulio/C-7312-2011; Bingen, Bernard/F-7116-2011</t>
  </si>
  <si>
    <t>Bingen, Bernard/0000-0002-4901-2016; VIOLA, GIULIO/0000-0002-8383-3328</t>
  </si>
  <si>
    <t>0263-4929</t>
  </si>
  <si>
    <t>1525-1314</t>
  </si>
  <si>
    <t>J METAMORPH GEOL</t>
  </si>
  <si>
    <t>J. Metamorph. Geol.</t>
  </si>
  <si>
    <t>10.1111/j.1525-1314.2007.00736.x</t>
  </si>
  <si>
    <t>231JM</t>
  </si>
  <si>
    <t>WOS:000250943000001</t>
  </si>
  <si>
    <t>Pisz, JM; Lawrence, JR; Schafer, AN; Siciliano, SD</t>
  </si>
  <si>
    <t>Pisz, Jola M.; Lawrence, John R.; Schafer, Alexis N.; Siciliano, Steven D.</t>
  </si>
  <si>
    <t>Differentiation of genes extracted from non-viable versus viable micro-organisms in environmental samples using ethidium monoazide bromide</t>
  </si>
  <si>
    <t>JOURNAL OF MICROBIOLOGICAL METHODS</t>
  </si>
  <si>
    <t>ethidium monoazide bromide; quantitative PCR; environmental samples; elemental sulfur; biofilm; soil</t>
  </si>
  <si>
    <t>GREEN FLUORESCENT PROTEIN; POLYMERASE-CHAIN-REACTION; REAL-TIME PCR; DEAD CELLS; RIBOSOMAL-RNA; DNA; BACTERIA; SOILS; QUANTIFICATION; NITRIFICATION</t>
  </si>
  <si>
    <t>Differentiation of DNA derived from viable or non-viable microorganisms within mixed microbial communities continues to be one of the Greatest challenges in molecular studies of environmental samples. A novel method developed for microbial food pathogens is tested here on environmental samples. This technique involves the use of ethidium monoazide bromide (EMA) for the distinction of live/dead cells. In nonviable cells E.,MA intercalates into the DNA which prevents amplification by PCR. We adapted and evaluated the EMA technique for soil, elemental sulfur and river biofilm samples. Quantitative PCR determined that EMA suppressed 99.99% of E. coli LKI gfp+ signal in non-viable cultures and 100.00% when the cultures were added to soil samples. The same technique was also successful at suppressing DNA amplification from spiked non-viable cells in elemental sulfur samples by 100.00%, but not in three Saskatchewan River biofilms. In sub Antarctic soil, EMAQ-PCR was used to detect the prevalence of a functional gene, amoA, and this was closely correlated to nitrification activity measurements. The ability of EMA to differentiate between viable and non-viable populations in soil was confirmed by the similarity of the 16S rRNA denaturing-gradient-gel electrophoresis DNA fingerprint of EMA treated soil and the 16S rRNA cDNA fingerprint of non-EMA treated soil. The EMA technique effectively suppressed amplification of non-viable spiked controls, closely mirrored activity assays and yielded community composition profiles similar to rRNA techniques. The use of EMA in soil effectively suppressed amplification of non-viable organism DNA, however it was not effective in biofilm samples and EMA partially inhibited amplification of viable organism DNA in elemental sulfur samples. (c) 2007 Elsevier B.V. All rights reserved.</t>
  </si>
  <si>
    <t>[Pisz, Jola M.; Schafer, Alexis N.; Siciliano, Steven D.] Univ Saskatchewan, Dept Soil Sci, Saskatoon, SK S7N 5A8, Canada; [Lawrence, John R.] Natl Water Res Inst Branch, Saskatoon, SK S7N 3H5, Canada; [Schafer, Alexis N.; Siciliano, Steven D.] Univ Saskatchewan, Toxicol Grp, Saskatoon, SK, Canada</t>
  </si>
  <si>
    <t>University of Saskatchewan; Environment &amp; Climate Change Canada; National Water Research Institute; University of Saskatchewan</t>
  </si>
  <si>
    <t>Siciliano, SD (corresponding author), Univ Saskatchewan, Dept Soil Sci, 51 Campus Dr, Saskatoon, SK S7N 5A8, Canada.</t>
  </si>
  <si>
    <t>steven.siciliano@usask.ca</t>
  </si>
  <si>
    <t>Lawrence, John/D-5758-2011; Siciliano, Steven D/G-3370-2011</t>
  </si>
  <si>
    <t>Lawrence, John/0000-0001-5872-1212; Siciliano, Steven/0000-0002-8994-3341</t>
  </si>
  <si>
    <t>0167-7012</t>
  </si>
  <si>
    <t>J MICROBIOL METH</t>
  </si>
  <si>
    <t>J. Microbiol. Methods</t>
  </si>
  <si>
    <t>10.1016/j.mimet.2007.09.015</t>
  </si>
  <si>
    <t>Biochemical Research Methods; Microbiology</t>
  </si>
  <si>
    <t>247LI</t>
  </si>
  <si>
    <t>WOS:000252080300019</t>
  </si>
  <si>
    <t>Kim, SJ; Yim, JH</t>
  </si>
  <si>
    <t>Kim, Sung Jin; Yim, Joung Han</t>
  </si>
  <si>
    <t>Cryoprotective properties of exopolysaccharide (P-21653) produced by the Antarctic bacterium, Pseudoalteromonas arctica KOPRI 21653</t>
  </si>
  <si>
    <t>JOURNAL OF MICROBIOLOGY</t>
  </si>
  <si>
    <t>cryoprotective property; Pseudoalteromonas arctica; cryoprotectant</t>
  </si>
  <si>
    <t>MICROORGANISMS</t>
  </si>
  <si>
    <t>Twenty-five bacterial strains that secrete mucous materials were isolated from sediment obtained from King George Island, Antarctica. Seven of these strains proved capable of producing cryoprotective exopolysaccharides. The strain KOPRI 21653 was selected for the further study of an anti-ice-nucleating polysaccharide (ANP), which originated from a polar region. KOPRI 21653 was identified as Pseudoalteromonas arctica as the result of 16S rRNA analysis. The exopolysaccharide, P-21653, was purified completely from the KOPRI 21653 cell culture via column chromatography and protease treatment. The principal sugar components of P-21653 were determined to be galactose and glucose, at a ratio of 1:1.5, via GC-MS analysis. The cryoprotective activity of P-21653 was characterized via an E. coli viability test. In the presence of 0.1% (w/v) P-21653, the survival ratio of E. coli cells was as high as 82.6% over three repeated freeze-thaw cycles. The survival ratio decreased drastically to 71.5 and 48.1%, respectively, in five and seven repeated cycle conditions; however, the survival ratios were greater over three (96.6-92.1%) to seven (100.5-91.6%) freeze-thaw, cycles in the presence of 0.5 and 1.0% (w/v) P-21653. In addition, at much lower concentrations (0.1-1.0%), P-21653 resulted in survival ratios (83.1-98.4%) similar to those of two commercially available cryoprotectants (V-EG plus X-1000, 92.9% and V-M3, 95.3%), which were utilized at the recommended concentrations (90%). The biochemical characteristics of exopolysaccharide P-21653 reflect that this compound may be developed as a useful cryoprotectant for use in medical applications and in the food industry.</t>
  </si>
  <si>
    <t>[Kim, Sung Jin; Yim, Joung Han] KORDI, Korea Polar Res Inst, Polar BioCtr, Inchon 406840, South Korea; [Kim, Sung Jin] Seoul Natl Univ, Interdisciplinary Program Biochem Engn &amp; Biotechn, Seoul 151748, South Korea</t>
  </si>
  <si>
    <t>Yim, JH (corresponding author), KORDI, Korea Polar Res Inst, Polar BioCtr, Inchon 406840, South Korea.</t>
  </si>
  <si>
    <t>jhyim@kopri.re.kr</t>
  </si>
  <si>
    <t>MICROBIOLOGICAL SOCIETY KOREA</t>
  </si>
  <si>
    <t>SEOUL</t>
  </si>
  <si>
    <t>KOREA SCIENCE &amp; TECHNOLOGY CENTER 803, 635-4 YEOGSAM-DONG, KANGNAM-KU, SEOUL 135-703, SOUTH KOREA</t>
  </si>
  <si>
    <t>1225-8873</t>
  </si>
  <si>
    <t>1976-3794</t>
  </si>
  <si>
    <t>J MICROBIOL</t>
  </si>
  <si>
    <t>J. Microbiol.</t>
  </si>
  <si>
    <t>247EA</t>
  </si>
  <si>
    <t>WOS:000252058900006</t>
  </si>
  <si>
    <t>Miyata, Y; Diyabalanage, T; Amsler, CD; McClintock, JB; Valeriote, FA; Baker, BJ</t>
  </si>
  <si>
    <t>Miyata, Yoshinari; Diyabalanage, Thushara; Amsler, Charles D.; McClintock, James B.; Valeriote, Frederick A.; Baker, Bill J.</t>
  </si>
  <si>
    <t>Ecdysteroids from the antarctic tunicate Synoicum adareanum</t>
  </si>
  <si>
    <t>JOURNAL OF NATURAL PRODUCTS</t>
  </si>
  <si>
    <t>MOLTING HORMONE</t>
  </si>
  <si>
    <t>Five new ecdysteroids, hyousterones A-D (2-5) and abeohyousterone, (6), have been isolated from the Antarctic tunicate Synoicum adareanum along with the known ecdysteroid diaulusterol B (1). Hyousterones B (3) and D (5) are unusual ecdysteroids in bearing the 14 beta-hydroxyl group, and abeohyousterone incorporates the 13(14 -&gt; 8) abeo steroid skeleton, reflecting a rearrangement of the steroid C/D ring system. Abeohyousterone has moderate cytotoxicity toward several cancer cell lines. Hyousterones bearing the 14 alpha-hydroxy group (2 and 4) were weakly cytotoxic, while the 14 beta-hydroxy hyousterones (3 and 5) were devoid of cytotoxicity. The 14 beta-hydroxy function may be a thermodynamic pathway to the 13(14 -&gt; 8) abeo steroid skeleton. Hyousterones, abeohyousterone, and diaulusterol B are the first ecdysteroids reported from tunicates.</t>
  </si>
  <si>
    <t>[Miyata, Yoshinari; Diyabalanage, Thushara; Baker, Bill J.] Univ S Florida, Ctr Mol Divers Drug Design Discovery &amp; Delivery, Tampa, FL 33620 USA; [Miyata, Yoshinari; Diyabalanage, Thushara; Baker, Bill J.] Univ S Florida, Dept Chem, Tampa, FL 33620 USA; [Amsler, Charles D.; McClintock, James B.] Univ Alabama Birmingham, Dept Biol, Birmingham, AL 35294 USA; [Valeriote, Frederick A.] Josephine Ford Canc Ctr, Henry Ford Hlth Syst, Detroit, MI 48202 USA</t>
  </si>
  <si>
    <t>State University System of Florida; University of South Florida; State University System of Florida; University of South Florida; University of Alabama System; University of Alabama Birmingham; Henry Ford Health System; Henry Ford Hospital</t>
  </si>
  <si>
    <t>Baker, BJ (corresponding author), Univ S Florida, Ctr Mol Divers Drug Design Discovery &amp; Delivery, 4202 E Fowler Ave CHE 205, Tampa, FL 33620 USA.</t>
  </si>
  <si>
    <t>bjbaker@cas.usf.edu</t>
  </si>
  <si>
    <t>0163-3864</t>
  </si>
  <si>
    <t>1520-6025</t>
  </si>
  <si>
    <t>J NAT PROD</t>
  </si>
  <si>
    <t>J. Nat. Prod.</t>
  </si>
  <si>
    <t>10.1021/np0702739</t>
  </si>
  <si>
    <t>Plant Sciences; Chemistry, Medicinal; Pharmacology &amp; Pharmacy</t>
  </si>
  <si>
    <t>Plant Sciences; Pharmacology &amp; Pharmacy</t>
  </si>
  <si>
    <t>246ZK</t>
  </si>
  <si>
    <t>WOS:000252046700005</t>
  </si>
  <si>
    <t>Thamban, M; Kawahata, H; Rao, VP</t>
  </si>
  <si>
    <t>Thamban, Meloth; Kawahata, Hodaka; Rao, Venigalla Purnachandra</t>
  </si>
  <si>
    <t>Indian summer monsoon variability during the holocene as recorded in sediments of the Arabian sea: Timing and implications</t>
  </si>
  <si>
    <t>JOURNAL OF OCEANOGRAPHY</t>
  </si>
  <si>
    <t>Holocene; Indian monsoon; Arabian sea; climate variability; solar forcing</t>
  </si>
  <si>
    <t>NORTH-ATLANTIC CLIMATE; ASIAN MONSOON; SOUTHWEST MONSOON; LATE QUATERNARY; LAST DEGLACIATION; AGE CALIBRATION; SOLAR INFLUENCE; WESTERN MARGIN; OXYGEN-MINIMUM; CLAY-MINERALS</t>
  </si>
  <si>
    <t>Indian monsoon precipitation fluctuated significantly during the Holocene and a reliable reconstruction of the timing of the events and their implications is of great benefit to our understanding of the effect and response of low latitude climate systems to the forcing factors. We have carried out high-resolution terrigenous proxy studies on a laminated sediment core from the Oxygen Minimum Zone of the eastern Arabian Sea margin to reconstruct the summer monsoon-controlled precipitation changes during the Holocene. The temporal variation in the terrigenous proxy indicators of this core, in combination with other high-quality cores from the Arabian Sea, suggests several abrupt events in monsoon precipitation throughout the Holocene. The early Holocene monsoon intensification occurred in two abrupt steps at 9500 and 9100 years BP and weakened gradually thereafter, starting at 8500 years BE A weakening in precipitation recorded at similar to 7000 years BP, synchronous with similar conditions in India. One of the most significant weak monsoon periods recorded in our studies lies between 6000 and 5500 years BE Spectral analysis of the precipitation records reveals statistically significant periodicities at 2200, 1350, 950, 750, 470, 320, 220, 156, 126, 113, 104 and 92 years. Most of these millennial-to-centennial cycles exist in various monsoon records as well as the tree ring Delta C-14 data and/or other solar proxy records. We suggest that throughout the Holocene, externally, small changes in solar activity controlled the Indian monsoon to a large extent, whereas internally, non-solar causes could have influenced the amplitude of decadal-to-centennial oscillations.</t>
  </si>
  <si>
    <t>Natl Ctr Antarctic &amp; Ocean Res, Headland Sada 403804, Goa, India; AIST, Geol Survey Japan, Tsukuba, Ibaraki 3058567, Japan; Natl Inst Oceanog, Panaji 403004, Goa, India</t>
  </si>
  <si>
    <t>Ministry of Earth Sciences (MoES) - India; National Centre for Polar and Ocean Research (NCPOR); National Institute of Advanced Industrial Science &amp; Technology (AIST); Council of Scientific &amp; Industrial Research (CSIR) - India; CSIR - National Institute of Oceanography (NIO)</t>
  </si>
  <si>
    <t>Thamban, M (corresponding author), Natl Ctr Antarctic &amp; Ocean Res, Headland Sada 403804, Goa, India.</t>
  </si>
  <si>
    <t>meloth@ncaor.org</t>
  </si>
  <si>
    <t>Kawahata, Hodaka/F-9065-2016</t>
  </si>
  <si>
    <t>Kawahata, Hodaka/0000-0003-4236-7356; Thamban, Meloth/0000-0003-3379-8189</t>
  </si>
  <si>
    <t>0916-8370</t>
  </si>
  <si>
    <t>1573-868X</t>
  </si>
  <si>
    <t>J OCEANOGR</t>
  </si>
  <si>
    <t>J. Oceanogr.</t>
  </si>
  <si>
    <t>10.1007/s10872-007-0084-8</t>
  </si>
  <si>
    <t>224MQ</t>
  </si>
  <si>
    <t>WOS:000250451500010</t>
  </si>
  <si>
    <t>Meathrel, CE; Carey, MJ</t>
  </si>
  <si>
    <t>Meathrel, Catherine E.; Carey, Mark J.</t>
  </si>
  <si>
    <t>How important are intrinsic factors to natal recruitment in Short-tailed Shearwaters Puffinus tenuirostris?</t>
  </si>
  <si>
    <t>JOURNAL OF ORNITHOLOGY</t>
  </si>
  <si>
    <t>seabirds; Shearwaters; recruitment; long-lived; subadult at sea mortality; parental quality</t>
  </si>
  <si>
    <t>ALBATROSSES DIOMEDEA-EXULANS; REPRODUCTIVE SUCCESS; EGG-SIZE; BREEDING SUCCESS; ANTARCTIC PETREL; LONG-TERM; AGE; SURVIVAL; GROWTH; COLONY</t>
  </si>
  <si>
    <t>Although many extrinsic factors affecting recruitment in Short-tailed Shearwaters Puffinus tenuirostris have been studied continuously on Fisher Island, Tasmania, since 1947, the need to minimise disturbance in this colony has meant that little is known of the role of intrinsic factors in recruitment for this population of long-lived seabirds. Intensive studies into the intrinsic factors (i. e. parental quality, egg size and the size and weight of chicks prior to fledging) affecting recruitment were initiated in 1994 on nearby Great Dog Island. Herein, we present preliminary data on the recruits from three cohorts from which all were assumed to have returned (i. e. 1993/1994, 1994/1995 and 1995/1996) by the 2004/2005 breeding season. Although the number of recruits was limited, those that did return to breed were from eggs that were 7% larger than those that did not. There were only weak relationships between parental quality, the size and weight of the egg and the chick at 2 months of age. None of these intrinsic factors seemed to explain why some chicks returned to prospect and breed, while others did not. Despite the large number of adults, eggs and chicks used in this study, powerful multivariate statistical analyses were unable to detect which intrinsic factors could be important to recruitment in this species. Hence, we suggest, alternatively, that extrinsic, density-independent factors operating outside the breeding season and away from the Bass Strait islands may determine whether or not a chick survives to return to breed. Clearly, more information is required on the biology of this species whilst at sea, particularly factors that may affect juvenile survival.</t>
  </si>
  <si>
    <t>[Meathrel, Catherine E.; Carey, Mark J.] La Trobe Univ, Dept Environm Management &amp; Ecol, Wodonga, Vic 3690, Australia</t>
  </si>
  <si>
    <t>Meathrel, CE (corresponding author), La Trobe Univ, Dept Environm Management &amp; Ecol, Wodonga, Vic 3690, Australia.</t>
  </si>
  <si>
    <t>0021-8375</t>
  </si>
  <si>
    <t>J ORNITHOL</t>
  </si>
  <si>
    <t>J. Ornithol.</t>
  </si>
  <si>
    <t>S385</t>
  </si>
  <si>
    <t>S393</t>
  </si>
  <si>
    <t>10.1007/s10336-007-0204-7</t>
  </si>
  <si>
    <t>291LN</t>
  </si>
  <si>
    <t>WOS:000255199000031</t>
  </si>
  <si>
    <t>Shadwick, JD; Timling, I; Stephenson, SL; Spiegel, FW</t>
  </si>
  <si>
    <t>Shadwick, J. D.; Timling, I; Stephenson, S. L.; Spiegel, F. W.</t>
  </si>
  <si>
    <t>First records of protostelids (Eumycetozoa) from the Antarctic Peninsula</t>
  </si>
  <si>
    <t>JOURNAL OF PHYCOLOGY</t>
  </si>
  <si>
    <t>[Shadwick, J. D.; Stephenson, S. L.; Spiegel, F. W.] Univ Arkansas, Dept Biol Sci, Fayetteville, AR 72701 USA; [Timling, I] Univ Alaska, Dept Biol &amp; Wildlife, Fairbanks, AK 99775 USA</t>
  </si>
  <si>
    <t>University of Arkansas System; University of Arkansas Fayetteville; University of Alaska System; University of Alaska Fairbanks</t>
  </si>
  <si>
    <t>0022-3646</t>
  </si>
  <si>
    <t>J PHYCOL</t>
  </si>
  <si>
    <t>J. Phycol.</t>
  </si>
  <si>
    <t>266YN</t>
  </si>
  <si>
    <t>WOS:000253474200115</t>
  </si>
  <si>
    <t>Aumack, C; Amsler, C; McClintock, J; Baker, B</t>
  </si>
  <si>
    <t>Aumack, C.; Amsler, C.; McClintock, J.; Baker, B.</t>
  </si>
  <si>
    <t>Using gut content analysis to assess macroalgae importance as a food source for the amphipod community endemic to Western Antarctic Peninsula</t>
  </si>
  <si>
    <t>[Aumack, C.; Amsler, C.; McClintock, J.] Univ Alabama, Dept Biol, Birmingham, AL 35294 USA; [Baker, B.] Univ S Florida, Dept Chem, Tampa, FL 33620 USA</t>
  </si>
  <si>
    <t>WOS:000253474200116</t>
  </si>
  <si>
    <t>Sevak, HP; Amsler, MO; Maschek, JA; Amsler, CD; McClintock, JB; Baker, BJ</t>
  </si>
  <si>
    <t>Sevak, H. P.; Amsler, M. O.; Maschek, J. A.; Amsler, C. D.; McClintock, J. B.; Baker, B. J.</t>
  </si>
  <si>
    <t>Chemical defenses against diatom fouling in antarctic macroalgae: Insights from bioassay guided fractionation</t>
  </si>
  <si>
    <t>[Sevak, H. P.; Amsler, M. O.; Amsler, C. D.; McClintock, J. B.] UAB, Birmingham, AL USA; [Maschek, J. A.; Baker, B. J.] USF, Tampa, FL USA</t>
  </si>
  <si>
    <t>WOS:000253474200119</t>
  </si>
  <si>
    <t>Bucolo, AP; Amsler, CD; McClintock, JB; Baker, BJ</t>
  </si>
  <si>
    <t>Bucolo, A. P.; Amsler, C. D.; McClintock, J. B.; Baker, B. J.</t>
  </si>
  <si>
    <t>Palatability of palmaria decipiens and its endo/epiphyte elachista antarctica to three common antarctic amphipods</t>
  </si>
  <si>
    <t>[Bucolo, A. P.; Amsler, C. D.; McClintock, J. B.] Univ Alabama, Birmingham, AL USA; [Baker, B. J.] Univ S Florida, Tampa Bay, FL USA</t>
  </si>
  <si>
    <t>WOS:000253474200204</t>
  </si>
  <si>
    <t>Nagai, H; Mogoe, T; Ishikawa, H; Hochi, S; Ohsumi, S; Fukui, Y</t>
  </si>
  <si>
    <t>Nagai, Hiroki; Mogoe, Toshihiro; Ishikawa, Hajime; Hochi, Shinichi; Ohsumi, Seiii; Fukui, Yutaka</t>
  </si>
  <si>
    <t>Follicle size-dependent changes in follicular fluid components and oocyte diameter in Antarctic minke whales (Balaenoptera bonaerensis)</t>
  </si>
  <si>
    <t>JOURNAL OF REPRODUCTION AND DEVELOPMENT</t>
  </si>
  <si>
    <t>follicular fluid; follicle size; minke whale (Balaenoptera bonaerensis); oocyte diameter</t>
  </si>
  <si>
    <t>IN-VITRO MATURATION; INTRACYTOPLASMIC SPERM INJECTION; DEVELOPMENTAL COMPETENCE; PORCINE OOCYTES; BOVINE OOCYTES; NUCLEAR MATURATION; DEFINED MEDIUM; GOAT OOCYTES; ACUTOROSTRATA; FERTILIZATION</t>
  </si>
  <si>
    <t>The concentrations of various components of follicular fluid were compared among three groups of follicles (small, &lt; 5 mm; medium: 5-10 mm; large, &gt; 10 mm) with a control that consisted of the components of umbilical serum using seven pregnant Antarctic minke whales. Follicular oocytes recovered from the follicles were also used for measurement of oocyte diameter after removing the cumulus cells. The mean diameter of the ooplasm in the oocytes from the large follicles (143.2 mu m) was significantly greater than those from the small (127.1 mu m) and medium (131.7 mu m) follicles, although there were no significant differences in diameter of the whole oocyte and thickness of the zona pellucida among the three follicular sizes. The osmolarity of the follicular fluid from the small follicles (363.3 mOsmol) was significantly lower than that of the medium follicles (388.9 mOsmol) and tended to be lower than that of large (381.9 mOsmol) follicles, respectively, both of which were similar to that of the umbilical serum (379.5 mOsmol). There was no significant difference in the concentrations of all components of the follicular fluid between the medium and large follicles. As compared with the values of the umbilical serum, the total-protein, glucose, albumin and chlorine concentrations of the follicular fluid from the medium and large follicles were significantly higher, and the total cholesterol and calcium concentrations were significantly lower. The concentrations of lactic acid (85.3-136.0 mg/dl) of the follicular fluid from the three groups of follicles were significantly lower than that of the umbilical serum (360.0 mg/dl). Among the follicles, the follicular fluid from the small follicles (136.0 mg/dl) contained a significantly higher concentration of lactic acid than that from the large follicles (85.3 mg/dl). The progesterone concentrations were not significantly different among the fluid from the three group of follicles and the umbilical serum: however, the estradiol 17-beta concentrations of the follicular fluid increased with the size of the follicle (14.3 and 34.6 ng/ml for small and large follicles, respectively). These results offer new information concerning whale reproductive physiology, especially for improvement of in vitro oocyte maturation and related technologies in whales.</t>
  </si>
  <si>
    <t>[Nagai, Hiroki; Fukui, Yutaka] Obihiro Univ Agr &amp; Vet Med, Lab Anim Reprod, Obihiro, Hokkaido 0808555, Japan; [Mogoe, Toshihiro; Ishikawa, Hajime; Ohsumi, Seiii] Inst Cetacean Res, Tokyo 1040055, Japan; [Hochi, Shinichi] Shinshu Univ, Fac Text Sci &amp; Technol, Ueda, Nagano 3868567, Japan</t>
  </si>
  <si>
    <t>Obihiro University of Agriculture &amp; Veterinary Medicine; Shinshu University</t>
  </si>
  <si>
    <t>Fukui, Y (corresponding author), Obihiro Univ Agr &amp; Vet Med, Lab Anim Reprod, Obihiro, Hokkaido 0808555, Japan.</t>
  </si>
  <si>
    <t>fukui@obihiro.ac.jp</t>
  </si>
  <si>
    <t>Hochi, Shinichi/T-4316-2019; Nagai, Hiroki/GXZ-7815-2022</t>
  </si>
  <si>
    <t>Hochi, Shinichi/0000-0001-5315-3471;</t>
  </si>
  <si>
    <t>SOCIETY REPRODUCTION &amp; DEVELOPMENT-SRD</t>
  </si>
  <si>
    <t>TSUKUBA</t>
  </si>
  <si>
    <t>C/O KAZUHIRO KIKUCHI, PHD DVM, NATL INST AGROBIOLOGICAL SCIENCES KANNONDAI 2-1-2, TSUKUBA, IBARAKI 305-8602, JAPAN</t>
  </si>
  <si>
    <t>0916-8818</t>
  </si>
  <si>
    <t>J REPROD DEVELOP</t>
  </si>
  <si>
    <t>J. Reprod. Dev.</t>
  </si>
  <si>
    <t>10.1262/jrd.19057</t>
  </si>
  <si>
    <t>Agriculture, Dairy &amp; Animal Science; Reproductive Biology</t>
  </si>
  <si>
    <t>Agriculture; Reproductive Biology</t>
  </si>
  <si>
    <t>250HV</t>
  </si>
  <si>
    <t>WOS:000252291500014</t>
  </si>
  <si>
    <t>Lavery, AC; Wiebe, PH; Stanton, TK; Lawson, GL; Benfield, MC; Copley, N</t>
  </si>
  <si>
    <t>Lavery, Andone C.; Wiebe, Peter H.; Stanton, Timothy K.; Lawson, Gareth L.; Benfield, Mark C.; Copley, Nancy</t>
  </si>
  <si>
    <t>Determining dominant scatterers of sound in mixed zooplankton populations</t>
  </si>
  <si>
    <t>JOURNAL OF THE ACOUSTICAL SOCIETY OF AMERICA</t>
  </si>
  <si>
    <t>IN-SITU MEASUREMENTS; VIDEO PLANKTON RECORDER; ACOUSTIC-SCATTERING; ANTARCTIC KRILL; TARGET STRENGTH; GEORGES BANK; VOLUME BACKSCATTERING; TAXONOMIC COMPOSITION; SPATIAL-DISTRIBUTION; EUPHAUSIA-SUPERBA</t>
  </si>
  <si>
    <t>High-frequency acoustic scattering techniques have been used to investigate dominant scatterers in mixed zooplankton populations. Volume backscattering was measured in the Gulf of Maine at 43, 120, 200, and 420 kHz. Zooplankton composition and size were determined using net and video sampling techniques, and water properties were determined using conductivity, temperature, and depth sensors. Dominant scatterers have been identified using recently developed scattering models for zooplankton and microstructure. Microstructure generally did not contribute to the scattering. At certain locations, gas-bearing zooplankton, that account for a small fraction of the total abundance and biomass, dominated the scattering at all frequencies. At these locations, acoustically inferred size agreed well with size determined from the net samples. Significant differences between the acoustic, net, and video estimates of abundance for these zooplankton are most likely due to limitations of the net and video techniques. No other type of biological scatterer ever dominated the scattering at all frequencies. Copepods, fluid-like zooplankton that account for most of the abundance and biomass, dominated at select locations only at the highest frequencies. At these locations, acoustically inferred abundance agreed well with net and video estimates. A general approach for the difficult problem of interpreting high-frequency acoustic scattering in mixed zooplankton populations is described. 0 2007 Acoustical Society of America.</t>
  </si>
  <si>
    <t>[Lavery, Andone C.] Woods Hole Oceanog Inst, Dept Appl Ocean Phys &amp; Engn, Woods Hole, MA 02543 USA; [Wiebe, Peter H.; Copley, Nancy] Woods Hole Oceanog Inst, Dept Biol, Woods Hole, MA 02543 USA; [Stanton, Timothy K.] Woods Hole Oceanog Inst, Dept Appl Ocean Phys &amp; Engn, Woods Hole, MA 02543 USA; [Lawson, Gareth L.] Stanford Univ, Hopkins Marine Stn, Pacific Grove, CA 93950 USA; [Benfield, Mark C.] Louisiana State Univ, Dept Oceanog &amp; Coastal Sci, Baton Rouge, LA 70803 USA</t>
  </si>
  <si>
    <t>Woods Hole Oceanographic Institution; Woods Hole Oceanographic Institution; Woods Hole Oceanographic Institution; Stanford University; Louisiana State University System; Louisiana State University</t>
  </si>
  <si>
    <t>Lavery, AC (corresponding author), Woods Hole Oceanog Inst, Dept Appl Ocean Phys &amp; Engn, Woods Hole, MA 02543 USA.</t>
  </si>
  <si>
    <t>alavery@whoi.edu</t>
  </si>
  <si>
    <t>Copley, Nancy/0000-0003-1473-8789; Benfield, Mark/0000-0002-0095-3843; Wiebe, Peter/0000-0002-6059-4651; Lavery, Andone/0000-0002-0713-1623</t>
  </si>
  <si>
    <t>ACOUSTICAL SOC AMER AMER INST PHYSICS</t>
  </si>
  <si>
    <t>STE 1 NO 1, 2 HUNTINGTON QUADRANGLE, MELVILLE, NY 11747-4502 USA</t>
  </si>
  <si>
    <t>0001-4966</t>
  </si>
  <si>
    <t>1520-8524</t>
  </si>
  <si>
    <t>J ACOUST SOC AM</t>
  </si>
  <si>
    <t>J. Acoust. Soc. Am.</t>
  </si>
  <si>
    <t>10.1121/1.2793613</t>
  </si>
  <si>
    <t>Acoustics; Audiology &amp; Speech-Language Pathology</t>
  </si>
  <si>
    <t>241IS</t>
  </si>
  <si>
    <t>WOS:000251650700016</t>
  </si>
  <si>
    <t>Jin, YK; Hong, JK</t>
  </si>
  <si>
    <t>Jin, Young Keun; Hong, Jong Kuk</t>
  </si>
  <si>
    <t>Spreading ridge-trench interaction on the continental margin around Anvers Island, Antarctic Peninsula</t>
  </si>
  <si>
    <t>JOURNAL OF THE GEOLOGICAL SOCIETY OF KOREA</t>
  </si>
  <si>
    <t>Korean</t>
  </si>
  <si>
    <t>Antarctic Peninsula; continental margin; ridge-trench collision; tectonic; seismic</t>
  </si>
  <si>
    <t>Using seismic data obtained on the Antarctic Peninsula continental margin around Anvers Island, we examined effect of spreading ridge-trench collision to tectonic evolution in the margin. The mid-shelf basement high (MSBH) formed by thermal effect of the subducted ridge had played a role in controlling continental shelf and slope morphology and sedimentation. From southwest to northeast in the study area, the width of MSBH generally increases, whereas the width of shelf sedimentary basin and the dip of continental slope decreases. Near the C Fracture Zone, it is interpreted that the high MSBH formed by recent thermal uplift could have blocked seaward advance of glacial sedimentary process.</t>
  </si>
  <si>
    <t>[Jin, Young Keun; Hong, Jong Kuk] KORDI, Korea Polar Res Inst KOPRI, 503 Get Pearl Tower,Songdo Techno Pk, Incheon 406840, South Korea</t>
  </si>
  <si>
    <t>Korea Institute of Ocean Science &amp; Technology (KIOST); Korea Polar Research Institute (KOPRI)</t>
  </si>
  <si>
    <t>Jin, YK (corresponding author), KORDI, Korea Polar Res Inst KOPRI, 503 Get Pearl Tower,Songdo Techno Pk, Incheon 406840, South Korea.</t>
  </si>
  <si>
    <t>ykjin@kopri.re.kr</t>
  </si>
  <si>
    <t>GEOLOGICAL SOC KOREA</t>
  </si>
  <si>
    <t>KOREA SCIENCE &amp; TECHNOLOGY CTR, RM 813, 7 GIL 22, TEHERAN- RO, GANGNAM-GUNA, SEOUL, 06130, SOUTH KOREA</t>
  </si>
  <si>
    <t>0435-4036</t>
  </si>
  <si>
    <t>2288-7377</t>
  </si>
  <si>
    <t>J GEOL SOC KOREA</t>
  </si>
  <si>
    <t>J. Geol. Soc. Korea</t>
  </si>
  <si>
    <t>VH6VW</t>
  </si>
  <si>
    <t>WOS:000453965100004</t>
  </si>
  <si>
    <t>Plotkin, AS; Janussen, D</t>
  </si>
  <si>
    <t>Plotkin, Alexander S.; Janussen, Dorte</t>
  </si>
  <si>
    <t>New genus and species of Polymastiidae (Demospongiae: Hadromerida) from the Antarctic deep sea</t>
  </si>
  <si>
    <t>JOURNAL OF THE MARINE BIOLOGICAL ASSOCIATION OF THE UNITED KINGDOM</t>
  </si>
  <si>
    <t>PORIFERA</t>
  </si>
  <si>
    <t>A new sponge genus and species, Astrotylus astrotylus, is described from the Antarctic abyssal zone. Its peculiar microscleres, herein referred to as astrotylostyles, combine the features of asterose spicules and tylostyles. Similar spicules are observed in Hymeraphia and Discorhabdella (order Poecilosclerida). But this similarity is convergent as far as a radial choanosomal skeleton composed by principal tylostyles and a cortical palisade of small tylostyles in Astrotylus undoubtedly confirm its allocation to the order Hadromerida and most likely to the family Polymastiidae. Atergia, Acanthopoylmastia and Tylexocladus have the closest affinities with Astrotylus that calls for the phylogenetic analysis of their relations. Meanwhile astrotylostyles of Astrotylus, cladotylostyles of Tylexocladus and grapnel-like exotyles of Proteleia may be the remnants of non-monaxonic ancestral spicule type in Polymastiidae that calls for reconsideration of the relations between hadromerid families.</t>
  </si>
  <si>
    <t>[Plotkin, Alexander S.] St Petersburg State Univ, Dept Ichthyol &amp; Hydrobiol, St Petersburg 199178, Russia; [Janussen, Dorte] Forsch Inst &amp; Naturmuseum Senckenberg, D-60325 Frankfurt, Germany</t>
  </si>
  <si>
    <t>Saint Petersburg State University; Senckenberg Gesellschaft fur Naturforschung (SGN)</t>
  </si>
  <si>
    <t>Plotkin, AS (corresponding author), St Petersburg State Univ, Dept Ichthyol &amp; Hydrobiol, 16th Line Vasilijevsky Isl 29, St Petersburg 199178, Russia.</t>
  </si>
  <si>
    <t>alexplot@mail.ru</t>
  </si>
  <si>
    <t>0025-3154</t>
  </si>
  <si>
    <t>1469-7769</t>
  </si>
  <si>
    <t>J MAR BIOL ASSOC UK</t>
  </si>
  <si>
    <t>J. Mar. Biol. Assoc. U.K.</t>
  </si>
  <si>
    <t>10.1017/S0025315407058134</t>
  </si>
  <si>
    <t>252VO</t>
  </si>
  <si>
    <t>WOS:000252475100007</t>
  </si>
  <si>
    <t>Ríos, P; Cristobo, J</t>
  </si>
  <si>
    <t>Rios, Pilar; Cristobo, Javier</t>
  </si>
  <si>
    <t>A new species of Phorbas (Porifera: Poecilosclerida) from the Bellingshausen Sea, Antarctica</t>
  </si>
  <si>
    <t>Phorbas is a common genus with cosmopolitan distribution. A new species of sponge, Phorbas megasigma sp. nov. (Porifera: Poecilosclerida: Hymedesmiidae) is described from material collected during the third Spanish expedition on the study of the Antarctic benthos, 'Bentart 03'. Phorbas megasigma is closely related to P nexus but differs in the possession of arcuate chelae and very big sigmata as microscleres.</t>
  </si>
  <si>
    <t>[Cristobo, Javier] Univ Alcala, Dept Zool &amp; Antropol Fis, Madrid, Spain; [Rios, Pilar] Univ Santiago de Compostela, Fac Biol, Dept Biol Anim, Santiago De Compostela, Spain</t>
  </si>
  <si>
    <t>Universidad de Alcala; Universidade de Santiago de Compostela</t>
  </si>
  <si>
    <t>Cristobo, J (corresponding author), Minist Educ &amp; Ciencia, Inst Espanol Oceanog, Ctr Oceanog Gijon, C Principe Asturias 70 Bis, Gijon 33212, Asturias, Spain.</t>
  </si>
  <si>
    <t>cristobo@gi.ieo.es</t>
  </si>
  <si>
    <t>Rios, Pilar/L-1293-2014; Cristobo, Javier/M-1949-2014</t>
  </si>
  <si>
    <t>Rios, Pilar/0000-0001-9710-9114;</t>
  </si>
  <si>
    <t>10.1017/S0025315407058079</t>
  </si>
  <si>
    <t>WOS:000252475100013</t>
  </si>
  <si>
    <t>Lindberg, DR; Pyenson, ND</t>
  </si>
  <si>
    <t>Lindberg, David R.; Pyenson, Nicholas D.</t>
  </si>
  <si>
    <t>Things that go bump in the night: evolutionary interactions between cephalopods and cetaceans in the tertiary</t>
  </si>
  <si>
    <t>LETHAIA</t>
  </si>
  <si>
    <t>cephalopoda; cetacea; diving; echolocation; evolution; nocturnal; odontoceti</t>
  </si>
  <si>
    <t>DIVING BEHAVIOR; TOOTHED WHALES; PREY; ECHOLOCATION; PHYLOGENY; ORIGIN; FOSSIL; DEEP; BATS</t>
  </si>
  <si>
    <t>Echolocation has evolved independently in several vertebrate groups, and hypotheses about the origin of echolocation in these groups often invoke abiotic mechanisms driving morphological evolution. In bats, for example, the ecological setting associated with the origin of echolocation has been linked to global warming during the Palaeocene-Eocene; similarly, the origin of toothed whales (odontocetes) has been broadly correlated with the establishment of the circum-Antarctic current. These scenarios, and the adaptational hypotheses for the evolution of echolocation with which they are associated, neglect a consideration of possible biotic mechanisms. Here we propose that the origin of echolocation in odontocetes was initially an adaptation for nocturnal epipelagic feeding - primarily on diel migrating cephalopods. We test this hypothesis using data on the temporal, geographical, and water column distributions of odontocetes and cephalopods, and other global events from their respective tertiary histories. From this analysis, we suggest that echolocation in early odontocetes aided nocturnal feeding on cephalopods and other prey items, and that this early system was exapted for deep diving and hunting at depths below the photic zone where abundant cephalopod resources were available 24 h a day. This scenario extends to the evolution of other cephalopod feeding (teuthophagous) marine vertebrates such as pinnipeds and Mesozoic marine reptiles.</t>
  </si>
  <si>
    <t>Univ Calif Berkeley, Dept Integrat Biol, Berkeley, CA 94720 USA; Univ Calif Berkeley, Museum Paleontol, Berkeley, CA 94720 USA</t>
  </si>
  <si>
    <t>University of California System; University of California Berkeley; University of California System; University of California Berkeley</t>
  </si>
  <si>
    <t>Lindberg, DR (corresponding author), Univ Calif Berkeley, Dept Integrat Biol, Berkeley, CA 94720 USA.</t>
  </si>
  <si>
    <t>drl@berkeley.edu; pyenson@berkeley.edu</t>
  </si>
  <si>
    <t>Lindberg, David R/D-8138-2011</t>
  </si>
  <si>
    <t>Pyenson, Nicholas/0000-0003-4678-5782</t>
  </si>
  <si>
    <t>0024-1164</t>
  </si>
  <si>
    <t>1502-3931</t>
  </si>
  <si>
    <t>Lethaia</t>
  </si>
  <si>
    <t>10.1111/j.1502-3931.2007.00032.x</t>
  </si>
  <si>
    <t>229JC</t>
  </si>
  <si>
    <t>WOS:000250798100004</t>
  </si>
  <si>
    <t>Martins, Z; Alexander, CMO; Orzechowska, GE; Fogel, ML; Ehrenfreund, P</t>
  </si>
  <si>
    <t>Martins, Z.; Alexander, C. M. O'D.; Orzechowska, G. E.; Fogel, M. L.; Ehrenfreund, P.</t>
  </si>
  <si>
    <t>Indigenous amino acids in primitive CR meteorites</t>
  </si>
  <si>
    <t>METEORITICS &amp; PLANETARY SCIENCE</t>
  </si>
  <si>
    <t>CARBONACEOUS CHONDRITE; ORGANIC-MATTER; ANTARCTIC MICROMETEORITES; LIQUID-CHROMATOGRAPHY; MASS SPECTROMETRY; SEARCH; MURCHISON; ISOTOPE</t>
  </si>
  <si>
    <t>CR chondrites are among the most primitive meteorites. In this paper, we report the first measurements of amino acids in Antarctic CR meteorites. Three CRs, Elephant Moraine (EET) 92042, Graves Nunataks (GRA) 95229, and Grosvenor Mountains (GRO) 95577, were analyzed for their amino acid content using high-performance liquid chromatography with UV fluorescence detection (HPLC-FD) and gas chromatography-mass spectrometry (GC-MS). Our data show that EET 92042 and GRA 95229 are the most amino acid-rich chondrites ever analyzed, with total amino acid concentrations ranging from 180 ppm to 249 ppm. The most abundant amino acids present in the EET 92042 and GRA 95229 meteorites are the alpha-amino acids glycine, isovaline, alpha-aminoisobutyric acid (alpha-AIB), and alanine, with delta(13)C values ranging from +31.6%. to +50.5%.. The carbon isotope results together with racemic enantiomeric ratios determined for most amino acids strongly indicate an extraterrestrial origin for these compounds. Compared to Elephant Moraine (EET) 92042 and GRA 95229, the more aqueously altered GRO 95577 is depleted in amino acids. In both CRs and CMs, the absolute amino acid abundances appear to be related to the degree of aqueous alteration in their parent bodies. In addition, the relative abundances of</t>
  </si>
  <si>
    <t>[Alexander, C. M. O'D.] Carnegie Inst Washington, Dept Terr Magnetism, Washington, DC 20015 USA; [Martins, Z.; Ehrenfreund, P.] Leiden Inst Chem, Astrobiol Lab, NL-2300 RA Leiden, Netherlands; [Orzechowska, G. E.] CALTECH, Jet Prop Lab, Pasadena, CA 91109 USA; [Fogel, M. L.] Carnegie Inst Washington, Geophys Lab, Washington, DC 20015 USA</t>
  </si>
  <si>
    <t>Carnegie Institution for Science; Leiden University; National Aeronautics &amp; Space Administration (NASA); NASA Jet Propulsion Laboratory (JPL); California Institute of Technology; Carnegie Institution for Science</t>
  </si>
  <si>
    <t>Martins, Z (corresponding author), Univ London Imperial Coll Sci Technol &amp; Med, Dept Earth Sci &amp; Engn, London SW7 2AZ, England.</t>
  </si>
  <si>
    <t>z.martins@imperial.ac.uk</t>
  </si>
  <si>
    <t>Martins, Zita/H-4860-2015; Fogel, Marilyn L/M-2395-2015; Alexander, Conel M. O'D./N-7533-2013</t>
  </si>
  <si>
    <t>Martins, Zita/0000-0002-5420-1081; Alexander, Conel M. O'D./0000-0002-8558-1427</t>
  </si>
  <si>
    <t>1086-9379</t>
  </si>
  <si>
    <t>METEORIT PLANET SCI</t>
  </si>
  <si>
    <t>Meteorit. Planet. Sci.</t>
  </si>
  <si>
    <t>10.1111/j.1945-5100.2007.tb01013.x</t>
  </si>
  <si>
    <t>287UC</t>
  </si>
  <si>
    <t>WOS:000254941000009</t>
  </si>
  <si>
    <t>Lancaster, ML; Goldsworthy, SD; Sunnucks, P</t>
  </si>
  <si>
    <t>Lancaster, Melanie L.; Goldsworthy, Simon D.; Sunnucks, Paul</t>
  </si>
  <si>
    <t>Multiple mating strategies explain unexpected genetic mixing of New Zealand fur seals with two congenerics in a recently recolonized population</t>
  </si>
  <si>
    <t>MOLECULAR ECOLOGY</t>
  </si>
  <si>
    <t>alternative mating strategies; Arctocephalus; hybridization; mate choice; microsatellite; paternal haplotype</t>
  </si>
  <si>
    <t>MULTILOCUS GENOTYPE DATA; PRINCE-EDWARD-ISLANDS; ARCTOCEPHALUS-GAZELLA; REPRODUCTIVE SUCCESS; MATE CHOICE; HALICHOERUS-GRYPUS; SEXUAL SELECTION; GREY SEALS; HYBRIDIZATION; PATERNITY</t>
  </si>
  <si>
    <t>Human impacts on natural systems can cause local population extinctions, which may promote redistribution of taxa and secondary contact between divergent lineages. In mammalian populations that have mating systems shaped by polygyny and sexual selection, the potential for hybridization to ensue and persist depends on individual and demographic factors. At Macquarie Island, a recently formed fur seal population is comprised of both sexes of breeding Antarctic (Arctocephalus gazella) and subantarctic (A. tropicalis) fur seals, and an itinerant collection of male New Zealand fur seals (A. forsteri), presumed to be non-breeders due to their absence from principle breeding areas. The mating system of the three species is described as resource-defence polygyny: males defend beach territories containing breeding females for exclusive mating rights. A recent genetic study identified a high level of hybridization in the population (17-30%), unexpectedly involving all three species. This study examined the source of involvement in breeding by A. forsteri with respect to mating strategies operating in the population. Ninety-five (10%) pups born from 1992 to 2003 were genetically identified as New Zealand hybrids. Most resulted from reproduction within territories by New Zealand hybrids of both sexes, although some were conceived extra-territorially, indicating that males successfully utilize strategies other than territory holding to achieve paternities. Female reproductive status influenced mating partner and mating location, and females without pups were more likely to conceive extra-territorially and with A. forsteri males. This study illustrates an important consequence of low heterospecific discrimination in a sympatric population of long-lived mammals.</t>
  </si>
  <si>
    <t>[Lancaster, Melanie L.; Goldsworthy, Simon D.; Sunnucks, Paul] La Trobe Univ, Dept Zool, Bundoora, Vic 3083, Australia; [Goldsworthy, Simon D.] S Australian Res &amp; Dev Inst, W Beach, SA 5024, Australia; [Sunnucks, Paul] Monash Univ, Australian Ctr Biodivers Anal Policy &amp; Management, Clayton, Vic 3800, Australia</t>
  </si>
  <si>
    <t>La Trobe University; Monash University</t>
  </si>
  <si>
    <t>Lancaster, ML (corresponding author), Univ Adelaide, Sch Earth &amp; Environm Sci, N Terrace, Adelaide, SA 5005, Australia.</t>
  </si>
  <si>
    <t>melanie.lancaster@adelaide.edu.au</t>
  </si>
  <si>
    <t>Sunnucks, Paul/0000-0002-8139-7059; Goldsworthy, Simon/0000-0003-4988-9085</t>
  </si>
  <si>
    <t>0962-1083</t>
  </si>
  <si>
    <t>MOL ECOL</t>
  </si>
  <si>
    <t>Mol. Ecol.</t>
  </si>
  <si>
    <t>10.1111/j.1365-294X.2007.03586.x</t>
  </si>
  <si>
    <t>Biochemistry &amp; Molecular Biology; Ecology; Evolutionary Biology</t>
  </si>
  <si>
    <t>Biochemistry &amp; Molecular Biology; Environmental Sciences &amp; Ecology; Evolutionary Biology</t>
  </si>
  <si>
    <t>241QU</t>
  </si>
  <si>
    <t>WOS:000251671700015</t>
  </si>
  <si>
    <t>Olbers, D; Lettmann, K; Wolff, JO</t>
  </si>
  <si>
    <t>Olbers, Dirk; Lettmann, Karsten; Wolff, Joerg-Olaf</t>
  </si>
  <si>
    <t>Wave-induced topographic formstress in baroclinic channel flow</t>
  </si>
  <si>
    <t>OCEAN DYNAMICS</t>
  </si>
  <si>
    <t>bottom formstress; Rossby waves; Antarctic Circumpolar Current</t>
  </si>
  <si>
    <t>ANTARCTIC CIRCUMPOLAR CURRENT; GENERAL-CIRCULATION MODEL; WIND-DRIVEN CIRCULATIONS; ZONAL CHANNEL; OCEAN; TRANSPORT; DYNAMICS; THERMOHALINE; BALANCE</t>
  </si>
  <si>
    <t>Large-scale zonal flow driven across submarine topography establishes standing Rossby waves. In the presence of stratification, the wave pattern can be represented by barotropic and baroclinic Rossby waves of mixed planetary topographic nature, which are locked to the topography. In the balance of momentum, the wave pattern manifests itself as topographic formstress. This wave-induced formstress has the net effect of braking the flow and reducing the zonal transport. Locally, it may lead to acceleration, and the parts induced by the barotropic and baroclinic waves may have opposing effects. This flow regime occurs in the circumpolar flow around Antarctica. The different roles that the wave-induced formstress plays in homogeneous and stratified flows through a zonal channel are analyzed with the BARBI (BARotropic-Baroclinic-Interaction ocean model, Olbers and Eden, J Phys Oceanogr 33:2719-2737, 2003) model. It is used in complete form and in a low-order version to clarify the different regimes. It is shown that the barotropic formstress arises by topographic locking due to viscous friction and the baroclinic one due to eddy-induced density advection. For the sinusoidal topography used in this study, the transport obeys a law in which friction and wave-induced formstress act as additive resistances, and windstress, the effect of Ekman pumping on the density stratification, and the buoyancy forcing (diapycnal mixing of the stratified water column) of the potential energy stored in the stratification act as additive forcing functions. The dependence of the resistance on the system parameters (lateral viscosity epsilon, lateral diffusivity kappa of eddy density advection, Rossby radius lambda, and topography height delta) as well as the dependence of transport on the forcing functions are determined. While the current intensity in a channel with homogeneous density decreases from the viscous flat bottom case in an inverse quadratic law similar to delta(-2) with increasing topography height and always depends on epsilon, a stratified system runs into a saturated state in which the transport becomes independent of alpha and epsilon and is determined by the density diffusivity kappa rather than the viscosity: kappa/lambda(2) acts as a vertical eddy viscosity, and the transport is lambda(2)/kappa times the applied forcing. Critical values for the topographic heights in these regimes are identified.</t>
  </si>
  <si>
    <t>Alfred Wegener Inst Polar &amp; Marine Res, Bremerhaven, Germany; Carl von Ossietzky Univ Oldenburg, ICBM, Oldenburg, Germany</t>
  </si>
  <si>
    <t>Helmholtz Association; Alfred Wegener Institute, Helmholtz Centre for Polar &amp; Marine Research; Carl von Ossietzky Universitat Oldenburg</t>
  </si>
  <si>
    <t>Olbers, D (corresponding author), Alfred Wegener Inst Polar &amp; Marine Res, Bremerhaven, Germany.</t>
  </si>
  <si>
    <t>Dirk.Olbers@awi.de</t>
  </si>
  <si>
    <t>Wolff, Joerg-Olaf/F-8248-2010</t>
  </si>
  <si>
    <t>Wolff, Joerg-Olaf/0000-0001-7037-7688</t>
  </si>
  <si>
    <t>1616-7341</t>
  </si>
  <si>
    <t>1616-7228</t>
  </si>
  <si>
    <t>OCEAN DYNAM</t>
  </si>
  <si>
    <t>Ocean Dyn.</t>
  </si>
  <si>
    <t>10.1007/s10236-007-0109-2</t>
  </si>
  <si>
    <t>234OQ</t>
  </si>
  <si>
    <t>WOS:000251173800002</t>
  </si>
  <si>
    <t>Olbers, D; Lettmann, K</t>
  </si>
  <si>
    <t>Olbers, Dirk; Lettmann, Karsten</t>
  </si>
  <si>
    <t>Barotropic and baroclinic processes in the transport variability of the Antarctic Circumpolar Current</t>
  </si>
  <si>
    <t>Antarctic circumpolar current; ACC transport; coherence patterns</t>
  </si>
  <si>
    <t>SOUTHERN-OCEAN; DRAKE PASSAGE; SEA-LEVEL; PART I; CIRCULATION; FLUCTUATIONS; ATMOSPHERE; SURFACE; BALANCE; MODEL</t>
  </si>
  <si>
    <t>Synoptic scale variability of the Southern Ocean wind field in the high-frequency range of barotropic Rossby waves results in transport variations of the Antarctic Circumpolar Current (ACC), which are highly coherent with the bottom pressure field all around theAntarctic continent. The coherence pattern, in contrast to the steady state ACC, is steered by the geostrophic f/h contours passing through Drake Passage and circling closely around the continent. At lower frequencies, with interannual and decadal periods, the correlation with the bottom pressure continues, but baroclinic processes gain importance. For periods exceeding a few years, variations of the ACC transport are in geostrophic balance with the pressure field associated with the baroclinic potential energy stored in the stratification, whereas bottom pressure plays a minor role. The low-frequency variability of the ACC transport is correlated with the baroclinic state variable in the entire Southern Ocean, mediated by baroclinic topographic-planetary Rossby waves that are not bound to f/h contours. To clarify the processes of wave dynamics and pattern correlation, we apply a circulation model with simplified physics (the barotropic baroclinic-interaction model BARBI) and use two types of wind forcing: the National Centers for Environmental Prediction (NCEP) wind field with integrations spanning three decades and an artificial wind field constructed from the first three empirical orthogonal functions of NCEP combined with a temporal variability according to an autoregressive process. Experiments with this Southern Annular Mode type forcing have been performed for 1,800 years. We analyze the spin-up, trends, and variability of the model runs. Particular emphasis is placed on coherence and correlation patterns between the ACC transport, the wind forcing, the bottom pressure field and the pressure associated with the baroclinic potential energy. A stochastic dynamical model is developed that describes the dominant barotropic and baroclinic processes and represents the spectral properties for a wide range of frequencies, from monthly periods to hundreds of years.</t>
  </si>
  <si>
    <t>Alfred Wegener Inst Polar &amp; Marine Res, Bremerhaven, Germany</t>
  </si>
  <si>
    <t>dirk.olbers@awi.de</t>
  </si>
  <si>
    <t>10.1007/s10236-007-0126-1</t>
  </si>
  <si>
    <t>WOS:000251173800005</t>
  </si>
  <si>
    <t>Peck, LS; Morley, SA; Pörtner, HO; Clark, MS</t>
  </si>
  <si>
    <t>Peck, Lloyd Samuel; Morley, Simon Anthony; Poertner, Hans-Otto; Clark, Melody Susan</t>
  </si>
  <si>
    <t>Thermal limits of burrowing capacity are linked to oxygen availability and size in the Antarctic clam Laternula elliptica</t>
  </si>
  <si>
    <t>OECOLOGIA</t>
  </si>
  <si>
    <t>activity; temperature; climate change; critical temperature; aerobic scope; size</t>
  </si>
  <si>
    <t>TEMPERATURE-DEPENDENT BIOGEOGRAPHY; CLIMATE-CHANGE; LIMITATION; TOLERANCE; BIVALVE; VULNERABILITY; ECTOTHERMS; DIVERSITY; EVOLUTION; RESPONSES</t>
  </si>
  <si>
    <t>Animal responses to changing environments are most commonly studied in relation to temperature change. The current paradigm for marine ectotherms is that temperature limits are set through oxygen limitation. Oxygen limitation leads to progressive reductions in capacity to perform work or activity, and these are more important and proximate measures of a population's ability to survive. Here we measured the ability of a large Antarctic clam to rebury when removed from sediment at temperatures between -1.5 and 7.5 degrees C and at three oxygen concentrations, 10.2, 20.5 and 27.7%. The proportion of the population capable of reburying declined rapidly and linearly with temperature from around 65% at 0 degrees C to 0% at 6 degrees C in normoxia (20.5% O-2). Decreasing oxygen to 10.2% reduced temperature limits for successful burial by around 2 degrees C, and increasing oxygen to 27.7% raised the limits by 1-1.5 degrees C. There was an interactive effect of body size and temperature on burying: the temperature limits of larger individuals were lower than smaller animals. Similarly, these size limits were increased by increasing oxygen availability. Considering data for all temperatures and oxygen levels, the fastest burying rates occurred at 3 degrees C, which is 2 degrees C above the maximum summer temperature at this site.</t>
  </si>
  <si>
    <t>Natl Environm Res Council British Antarctic Surve, Madingley Rd, Cambridge CB3 0ET, England; Alfred Wegener Inst Polar &amp; Marine Res, D-27515 Bremerhaven, Germany</t>
  </si>
  <si>
    <t>Peck, LS (corresponding author), Natl Environm Res Council British Antarctic Surve, Madingley Rd, Cambridge CB3 0ET, England.</t>
  </si>
  <si>
    <t>Pörtner, Hans-O./K-9429-2016; Pörtner, Hans-O./ISU-9397-2023; Clark, Melody/D-7371-2014</t>
  </si>
  <si>
    <t>Pörtner, Hans-O./0000-0001-6535-6575; Clark, Melody/0000-0002-3442-3824</t>
  </si>
  <si>
    <t>NERC [bas010015, dml011000] Funding Source: UKRI; Natural Environment Research Council [dml011000, bas010015] Funding Source: researchfish</t>
  </si>
  <si>
    <t>0029-8549</t>
  </si>
  <si>
    <t>1432-1939</t>
  </si>
  <si>
    <t>Oecologia</t>
  </si>
  <si>
    <t>10.1007/s00442-007-0858-0</t>
  </si>
  <si>
    <t>234FU</t>
  </si>
  <si>
    <t>WOS:000251146900004</t>
  </si>
  <si>
    <t>Afonso, E; Thulllez, P; Pontier, D; Gilot-Fromont, E</t>
  </si>
  <si>
    <t>Afonso, E.; Thulllez, P.; Pontier, D.; Gilot-Fromont, E.</t>
  </si>
  <si>
    <t>Toxoplasmosis in prey species and consequences for prevalence in feral cats: not all prey species are equal</t>
  </si>
  <si>
    <t>PARASITOLOGY</t>
  </si>
  <si>
    <t>Toxoplasma gondii; epidemiology; feral cat; diet; sub-Antarctic environment</t>
  </si>
  <si>
    <t>RABBIT ORYCTOLAGUS-CUNICULUS; GONDII INFECTION; SEROLOGIC SURVEY; MOLECULAR SYSTEMATICS; DOMESTIC-ANIMALS; WILD MAMMALS; ANTIBODIES; PHYLOGENY; SEROPREVALENCE; POPULATION</t>
  </si>
  <si>
    <t>Toxoplasma gondii is largely transmitted to definitive felid hosts through predation. Not all prey species represent identical risks of infection for cats because of differences in prey susceptibility, exposure and/or lifespan. Previously published studies have shown that prevalence in rodent and lagomorph species is positively correlated with body mass. We tested the hypothesis that different prey species have different infection risks by comparing infection dynamics of feral cats at 4 sites in the sub-Antarctic Kerguelen archipelago which differed in prey availability. Cats were trapped from 1994 to 2004 and anti-T. gondii IgG antibodies were detected using the modified agglutination test (&gt;= 1 : 40). Overall seroprevalence was 51.09%. Antibody prevalence differed between sites, depending on diet and also on sex, after taking into account the effect of age. Males were more often infected than females and the difference between the sexes tended to be more pronounced in the site where more prey species were available. A difference in predation efficiency between male and female cats may explain this result. Overall, our results suggest that the composition of prey items in cat diet influences the risk of T. gondii infection. Prey compositon should therefore be considered important in any understanding of infection dynamics of T. gondii.</t>
  </si>
  <si>
    <t>[Afonso, E.; Thulllez, P.; Gilot-Fromont, E.] Univ Lyon 1, Univ Lyon, CNRS,UMR 5558, Lab Biometrie &amp; Biol Evolut, F-69622 Villeurbanne, France; [Afonso, E.] CERFE, 2C2A, F-08240 Boult Aux Bois, France; Univ Reims, UFR Med, Lab Parasitol Mycol, EA 3800, F-51096 Reims, France; [Thulllez, P.] Inst Puricult &amp; Perinatalog, Lab Toxoplasmose, F-75014 Paris, France</t>
  </si>
  <si>
    <t>Centre National de la Recherche Scientifique (CNRS); CNRS - Institute of Ecology &amp; Environment (INEE); VetAgro Sup; Universite Claude Bernard Lyon 1; Universite de Reims Champagne-Ardenne</t>
  </si>
  <si>
    <t>Afonso, E (corresponding author), Univ Lyon 1, Univ Lyon, CNRS,UMR 5558, Lab Biometrie &amp; Biol Evolut, 43 Blvd 11 Novembre 1918, F-69622 Villeurbanne, France.</t>
  </si>
  <si>
    <t>afonso@biomserv.univ-lyon1.fr</t>
  </si>
  <si>
    <t>Afonso, Eve/L-1286-2013</t>
  </si>
  <si>
    <t>Afonso, Eve/0000-0001-5836-9909; Pontier, Dominique/0000-0003-4700-3543; Gilot-Fromont, Emmanuelle/0000-0003-0011-7519</t>
  </si>
  <si>
    <t>0031-1820</t>
  </si>
  <si>
    <t>1469-8161</t>
  </si>
  <si>
    <t>Parasitology</t>
  </si>
  <si>
    <t>10.1017/S0031182007003320</t>
  </si>
  <si>
    <t>242BJ</t>
  </si>
  <si>
    <t>WOS:000251699200005</t>
  </si>
  <si>
    <t>Hawes, TC; Bale, JS; Worland, MR; Convey, P</t>
  </si>
  <si>
    <t>Hawes, T. C.; Bale, J. S.; Worland, M. R.; Convey, P.</t>
  </si>
  <si>
    <t>Moulting reduces freeze susceptibility in the Antarctic mite Alaskozetes antarcticus (Michael)</t>
  </si>
  <si>
    <t>PHYSIOLOGICAL ENTOMOLOGY</t>
  </si>
  <si>
    <t>cold hardiness; cryoprotection; ecdysis; maritime Antarctic; oribatid; overwintering; supercooling point</t>
  </si>
  <si>
    <t>AMERONOTHRUS-LINEATUS ACARI; SUPERCOOLING POINTS; COLD HARDINESS; LIFE-CYCLE; COLLEMBOLA; POPULATION; ORIBATIDA; SURVIVAL; SVALBARD; ISLAND</t>
  </si>
  <si>
    <t>The effect of moulting on the cold hardiness of the oribatid mite Alaskozetes antarcticus (Michael) is investigated. Non moulting animals show clear seasonal patterns of cold hardiness with high supercooling points (SCPs) at the peak of summer and an increasing proportion of low SCPs with declining environmental temperatures. By contrast, both field-fresh and laboratory acclimated (5 degrees C) mites in the moult state are consistently found to have low SCPs regardless of environmental temperature.</t>
  </si>
  <si>
    <t>Univ Birmingham, Sch Biosci, Birmingham B16 2TT, W Midlands, England; Natl Environm Res Council, British Antarctic Survey, Cambridge, England</t>
  </si>
  <si>
    <t>Hawes, TC (corresponding author), Univ Birmingham, Sch Biosci, Birmingham B16 2TT, W Midlands, England.</t>
  </si>
  <si>
    <t>0307-6962</t>
  </si>
  <si>
    <t>1365-3032</t>
  </si>
  <si>
    <t>PHYSIOL ENTOMOL</t>
  </si>
  <si>
    <t>Physiol. Entomol.</t>
  </si>
  <si>
    <t>10.1111/j.1365-3032.2007.00547.x</t>
  </si>
  <si>
    <t>Entomology</t>
  </si>
  <si>
    <t>227HV</t>
  </si>
  <si>
    <t>WOS:000250648700001</t>
  </si>
  <si>
    <t>Moens, T; Vanhove, S; De Mesel, I; Kelemen, B; Janssens, T; Dewicke, A; Vanreusel, A</t>
  </si>
  <si>
    <t>Moens, Tom; Vanhove, Sandra; De Mesel, Ilse; Kelemen, Bea; Janssens, Thierry; Dewicke, Ann; Vanreusel, Ann</t>
  </si>
  <si>
    <t>Carbon sources of Antarctic nematodes as revealed by natural carbon isotope ratios and a pulse-chase experiment</t>
  </si>
  <si>
    <t>Antarctic; nematodes; meiobenthos; carbon sources; stable carbon isotopes; pulse-chase experiment; mineralization</t>
  </si>
  <si>
    <t>PARTICULATE ORGANIC-MATTER; DEEP-SEA; WEDDELL SEA; METAZOAN MEIOFAUNA; BENTHIC COMMUNITY; SOUTHERN-OCEAN; STABLE CARBON; FOOD-WEB; SEASONAL VARIABILITY; COASTAL SEDIMENT</t>
  </si>
  <si>
    <t>delta C-13 of nematode communities in 27 sites was analyzed, spanning a large depth range (from 130 to 2,021 m) in five Antarctic regions, and compared to isotopic signatures of sediment organic matter. Sediment organic matter delta C-13 ranged from -24.4 to -21.9 parts per thousand without significant differences between regions, substrate types or depths. Nematode delta C-13 showed a larger range, from -34.6 to -19.3 parts per thousand, and was more depleted than sediment organic matter typically by 1 parts per thousand and by up to 3 parts per thousand in silty substrata. These, and the isotopically heavy meiofauna at some stations, suggest substantial selectivity of some meiofauna for specific components of the sedimenting plankton. However, delta C-13-depletion in lipids and a potential contribution of chemoautotrophic carbon in the diet of the abundant genus Sabatieria may confound this interpretation. Carbon sources for Antarctic nematodes were also explored by means of an experiment in which the fate of a fresh pulse of labile carbon to the benthos was followed. This organic carbon was remineralized at a rate (11-20 mg C m(-2) day(-1)) comparable to mineralization rates in continental slope sediments. There was no lag between sedimentation and mineralization; uptake by nematodes, however, did show such a lag. Nematodes contributed negligibly to benthic carbon mineralization.</t>
  </si>
  <si>
    <t>[Moens, Tom; Vanhove, Sandra; De Mesel, Ilse; Kelemen, Bea; Janssens, Thierry; Dewicke, Ann; Vanreusel, Ann] Univ Ghent, Marine Biol Sect, Dept Biol, B-9000 Ghent, Belgium; [Vanhove, Sandra] Int Polar Fdn, B-1070 Brussels, Belgium; [De Mesel, Ilse] IMARES, NL-4400 AB Yerseke, Netherlands; [Kelemen, Bea] Univ Babes Bolyai, Ctr Mol Biol, Inst Interdisciplinary Expt Res, Cluj Napoca 400271, Romania; [Janssens, Thierry] Vrije Univ Amsterdam, Inst Ecol Sci, Dept Anim Ecol, NL-1081 HV Amsterdam, Netherlands</t>
  </si>
  <si>
    <t>Ghent University; Wageningen University &amp; Research; Babes Bolyai University from Cluj; Vrije Universiteit Amsterdam</t>
  </si>
  <si>
    <t>Moens, T (corresponding author), Univ Ghent, Marine Biol Sect, Dept Biol, Krijgslaan 281-S8, B-9000 Ghent, Belgium.</t>
  </si>
  <si>
    <t>tom.moens@Ugent.be</t>
  </si>
  <si>
    <t>Kelemen, Beatrice Simona/C-5385-2012; Kelemen, Beatrice/AAK-3413-2021; Moens, Tom/AAB-8701-2019</t>
  </si>
  <si>
    <t>Kelemen, Beatrice Simona/0000-0002-2989-2941; Kelemen, Beatrice/0000-0002-2989-2941; Janssens, Thierry K.S./0000-0003-2418-8979</t>
  </si>
  <si>
    <t>10.1007/s00300-007-0323-x</t>
  </si>
  <si>
    <t>242HV</t>
  </si>
  <si>
    <t>WOS:000251717100001</t>
  </si>
  <si>
    <t>Ding, Y; Miao, JL; Wang, QF; Zheng, Z; Li, GY; Jian, JC; Wu, ZH</t>
  </si>
  <si>
    <t>Ding, Yu; Miao, Jin-Lai; Wang, Quan-Fu; Zheng, Zhou; Li, Guang-You; Jian, Ji-Chang; Wu, Zao-He</t>
  </si>
  <si>
    <t>Purification and characterization of a psychrophilic glutathione reductase from Antarctic ice microalgae Chlamydomonas sp Strain ICE-L</t>
  </si>
  <si>
    <t>chlamydomonas sp strain ICE-L; glutathione reductase; purification; function characterization; inhibitory effect</t>
  </si>
  <si>
    <t>RESISTANCE; TOLERANCE; PLANTS; MAIZE; LEAF</t>
  </si>
  <si>
    <t>A psychrophilic glutathione reductase from Antarctic ice microalgae Chlamydomonas sp. Strain ICE-L was purified by ammonium sulfate fractionation and three steps of chromatography. The yield was up to 25.1% of total glutathione reductase in the crude enzyme extract. The glutathione reductase activity was characterized by the spectrophotometric method under different conditions. Purified glutathione reductase was separated by SDS-PAGE, which furnished a homogeneous band. The native molecular mass of the enzyme was 115 kDa. Apparent Km values for NADPH and NADH (both at 0.5 mmol L-1 oxidized glutathione) were 22.3 and 83.8 mu mol L-1, respectively. It was optimally active at pH 7.5, and it was stable from pH 5 to 9. Its optimum temperature was 25 degrees C, with activity at 0 degrees C 23.5% of the maximum. Its optimum ion strength and optimum Mg2+ were 50--90 and 7.5 rnmol L-1, respectively. Ca2+, Mg2+, and cysteine substantially increased the activity of the enzyme but chelating agents, heavy metals (Cd2+, Pb2+, Cu2+, Zn2+, etc.), NADPH, and ADP had significant inhibitory effects. This glutathione reductase can be used to study the adaptation and mechanism of catalysis of psychrophilic enzymes, and it has a high potential as an environmental biochemical indicator under extreme conditions.</t>
  </si>
  <si>
    <t>[Ding, Yu; Jian, Ji-Chang; Wu, Zao-He] Guangdong Ocean Univ, Coll Fisheries, Zhanjiang 524025, Guangdong, Peoples R China; [Miao, Jin-Lai; Wang, Quan-Fu; Zheng, Zhou; Li, Guang-You] State Ocean Adm, Inst Oceanog 1, Key Lab Marine Bioact Subst, Qingdao 266061, Shandong, Peoples R China</t>
  </si>
  <si>
    <t>Guangdong Ocean University; First Institute of Oceanography, Ministry of Natural Resources</t>
  </si>
  <si>
    <t>Ding, Y (corresponding author), Guangdong Ocean Univ, Coll Fisheries, 40 Jiefang E Rd, Zhanjiang 524025, Guangdong, Peoples R China.</t>
  </si>
  <si>
    <t>dingyuddd@163.com</t>
  </si>
  <si>
    <t>wang, quan fu/K-9703-2018</t>
  </si>
  <si>
    <t>wang, quan fu/0000-0002-3885-5464</t>
  </si>
  <si>
    <t>10.1007/s00300-007-0328-5</t>
  </si>
  <si>
    <t>WOS:000251717100003</t>
  </si>
  <si>
    <t>Masini, MA; Ricci, F; Prato, P; Uva, BM</t>
  </si>
  <si>
    <t>Masini, M. A.; Ricci, F.; Prato, P.; Uva, B. M.</t>
  </si>
  <si>
    <t>Branchial morphology and ion-water transport proteins in Antarctic teleosts with different modes of life</t>
  </si>
  <si>
    <t>Antarctic teleosts; gill; lifestyle</t>
  </si>
  <si>
    <t>MITOCHONDRIA-RICH CELLS; FISH GILLS; EXPRESSION; ATPASE; IMMUNOLOCALIZATION; OSMOREGULATION; GLYCOPROTEINS; ISOFORMS; SEAWATER</t>
  </si>
  <si>
    <t>In the Antarctic Ocean salt concentration differs from the bottom to the surface owing to the seasonal forming and melting of sea ice. Antarctic telcosts present different lifestyle from benthic to pelagic. While benthic animals face a constant seawater salinity, benthic-pelagic animals have to face different salt concentration. Branchial morphology and ion-water transport proteins were compared in animals with different lifestyle. The ultrastructure of the gills was investigated by scanning electron microscopy (SEM). Na+/K+/ATPase, Na+/K+/Cl- cotransport protein NKCC1 and Aquaporin 3 (AQP3), were investigated by immunohistochemistry. The immunoreactivity for the ion transporter proteins were more intense in the active benthic-pelagic animals and in the icefishes than in the sluggish benthic ones. Conversely, AQP immunoreactivity was stronger in the animals with sedentary lifestyles. The SEM showed the secondary lamellae in the benthic-pelagic animals more densely packed with the exception of the haemoglobin free teleosts.</t>
  </si>
  <si>
    <t>[Masini, M. A.; Prato, P.; Uva, B. M.] Univ Genoa, Dipartimento Biol, I-16132 Genoa, Italy; [Ricci, F.] ENEA, CR Casaccia, Rome, Italy</t>
  </si>
  <si>
    <t>University of Genoa; Italian National Agency New Technical Energy &amp; Sustainable Economics Development</t>
  </si>
  <si>
    <t>Masini, MA (corresponding author), Univ Genoa, Dipartimento Biol, Viale Benedetto 15, I-16132 Genoa, Italy.</t>
  </si>
  <si>
    <t>masini@unige.it</t>
  </si>
  <si>
    <t>10.1007/s00300-007-0329-4</t>
  </si>
  <si>
    <t>WOS:000251717100004</t>
  </si>
  <si>
    <t>Bartak, M; Vaczi, P; Hájek, J; Smykla, J</t>
  </si>
  <si>
    <t>Bartak, Milos; Vaczi, Peter; Hajek, Josef; Smykla, Jerzy</t>
  </si>
  <si>
    <t>Low-temperature limitation of primary photosynthetic processes in Antarctic lichens Umbilicaria antarctica and Xanthoria elegans</t>
  </si>
  <si>
    <t>chlorophyll fluorescence imaging; extreme temperature; freezing; non-photochemical quenching</t>
  </si>
  <si>
    <t>CHLOROPHYLL-A FLUORESCENCE; CARBON-DIOXIDE EXCHANGE; CONTINENTAL ANTARCTICA; CETRARIA-ISLANDICA; HIGH IRRADIANCE; CO2 EXCHANGE; LIGHT STRESS; HYDRATION; THALLUS; GLUTATHIONE</t>
  </si>
  <si>
    <t>Temperature response curves of chlorophyll a fluorescence parameters were used to assess minimum subzero temperature assuring functioning of photosynthetic photochemical processes in photosystem II (PS II) of Antarctic lichens. Umbilicaria Antarctica and Xanthoria elegans were measured within the temperature range from -20 to +10 degrees C by a fluorometric imaging system. For potential (F-V/F-M) and actual (phi(II)) quantum yields of photochemical processes the minimum temperature was found to be between -10 and -20 degrees C. Non-photochemical quenching (NPQ) of absorbed excitation energy increased with temperature drop reaching maximum NPQ at -15 degrees C. Image analysis revealed intrathalline heterogeneity of chlorophyll a fluorescence parameters with temperature drop. Temperature response of phi(II) exhibited an S-curve with pronounced intrathalline differences in X. elegans. The same relation was linear with only limited intrathalline difference in U. antarctica. The results showed that Antarctic lichen species were well adapted to sub-zero temperatures and capable of performing primary photosynthesis at -15 degrees C.</t>
  </si>
  <si>
    <t>[Bartak, Milos; Vaczi, Peter; Hajek, Josef] Masaryk Univ, Inst Expt Biol, Dept Plant Physiol &amp; Anat, CS-61137 Brno, Czech Republic; [Smykla, Jerzy] Polish Acad Sci, Inst Nat Conservat, Dept Biodivers, PL-31120 Krakow, Poland</t>
  </si>
  <si>
    <t>Masaryk University Brno; Polish Academy of Sciences</t>
  </si>
  <si>
    <t>Bartak, M (corresponding author), Masaryk Univ, Inst Expt Biol, Dept Plant Physiol &amp; Anat, Kotlarska 2, CS-61137 Brno, Czech Republic.</t>
  </si>
  <si>
    <t>mbartak@sci.muni.cz; smykla@iop.krakow.pl</t>
  </si>
  <si>
    <t>Barták, Miloš/F-4714-2019; , Peter/AAF-2323-2021; Hájek, Josef/F-4694-2019; Smykla, Jerzy/N-3288-2014</t>
  </si>
  <si>
    <t>, Peter/0000-0003-1200-8934; Hájek, Josef/0000-0002-2679-1707; Smykla, Jerzy/0000-0001-8228-6695</t>
  </si>
  <si>
    <t>10.1007/s00300-007-0331-x</t>
  </si>
  <si>
    <t>WOS:000251717100006</t>
  </si>
  <si>
    <t>Kopczynska, EE; Savoye, N; Dehairs, F; Cardinal, D; Elskens, M</t>
  </si>
  <si>
    <t>Kopczynska, Elzbieta E.; Savoye, Nicolas; Dehairs, Frank; Cardinal, Damien; Elskens, Marc</t>
  </si>
  <si>
    <t>Spring phytoplankton assemblages in the Southern Ocean between Australia and Antarctica</t>
  </si>
  <si>
    <t>phytoplankton; microzooplankton; Southern Ocean</t>
  </si>
  <si>
    <t>SIZE-FRACTIONATED PHYTOPLANKTON; ICE MICROBIAL COMMUNITIES; SEA-ICE; IRON FERTILIZATION; CROZET BASIN; INDIAN-OCEAN; SPECIES COMPOSITION; PLANKTON DIATOMS; CONFLUENCE AREA; SURFACE OCEAN</t>
  </si>
  <si>
    <t>Variations of phytoplankton assemblages were studied in November-December 2001, in surface waters of the Southern Ocean along a transect between the Sub-Antarctic Zone (SAZ) and the Seasonal Ice Zone (SIZ; 46.9 degrees-64.9 degrees S; 142 degrees-143 degrees E; CLlVAR-SR3 cruise). Two regions had characteristic but different phytoplankton assemblages. Nanoflagellates(&lt; 20 mu m) and pico-plankton (similar to 2 mu m) occurred in similar concentrations along the transect, but were dominant in the SAZ, Sub-Antarctic Front (SAF), Polar Front Zone (PFZ) and the Inter-Polar Front Zone (IPFZ), (46.9 degrees-56.9 degrees S). Along the entire transect their average cell numbers in the upper 70 m of water column, varied from 3 x 10(5) to 1.1 x 10(6) cells 1(-1). Larger cells (&gt; 20 mu m), diatoms and dinoflagellates, were more abundant in the Antarctic Zone-South (AZ-S) and the SIZ, (60.9 degrees-64.9 degrees S). In AZ-S and SIZ diatoms ranged between 2.7 x 10(5) and 1.2 x 10(6) cells 1(-1), dinoflagellates from 3.1 X 10(4) to 1.02 x 10(5) cells 1(-1). A diatom bloom was in progress in the AZ-S showing a peak of 1.8 x 10(6) cells 1(-1). Diatoms were dominated by Pseudo-nitzschia spp., Fragilariopsis spp., and Chaetoceros spp. Pseudo-nitzschia spp. outnumbered other diatoms in the AZ-S. Fragilaropsis spp. were most numerous in the SIZ. Dinoflagellates contained autotrophs (e.g. Prorocentrum) and heterotrophs (Gyrodiniuml Gymnodinium, Protoperidinium). Diatoms and dinoflagellates contributed most to the cellular carbon: 11-25 and 17-124 mu g C 1(-1), respectively. Small cells dominated in the northern region characterized by the lowest N-uptake and new production of the transect. Larger diatom cells were prevalent in the southern area with higher values of N-uptake and new production. Diatom and nanofiagellate cellular carbon contents were highly correlated with one another, with primary production, and productivity related parameters. They contributed up to 75% to the total autotrophic C biomass. Diatom carbon content was significantly correlated to nitrate uptake and particle export, but not to ammonium uptake, while flagellate carbon was well correlated to ammonium uptake, but not to export. Diatoms have contributed highly to particle export along the latitudinal transect, while flagellates played a minor role in the export.</t>
  </si>
  <si>
    <t>[Kopczynska, Elzbieta E.] Polish Acad Sci, Dept Antarct Biol, PL-02141 Warsaw, Poland; [Savoye, Nicolas; Dehairs, Frank; Elskens, Marc] Vrije Univ Brussels, Dept Analyt &amp; Environm Chem, B-1050 Brussels, Belgium; [Cardinal, Damien] Royal Museum Cent Africa, Dept Geol &amp; Mineral, B-3080 Tervuren, Belgium</t>
  </si>
  <si>
    <t>Polish Academy of Sciences; Vrije Universiteit Brussel; Royal Museum for Central Africa</t>
  </si>
  <si>
    <t>Kopczynska, EE (corresponding author), Polish Acad Sci, Dept Antarct Biol, Ustrzycka 10-12, PL-02141 Warsaw, Poland.</t>
  </si>
  <si>
    <t>elzbieta.kopczynska@yahoo.com; fdehairs@vub.ac.be; damien.cardinal@africamuseum.be</t>
  </si>
  <si>
    <t>Cardinal, Damien/AAM-6215-2021</t>
  </si>
  <si>
    <t>Cardinal, Damien/0000-0003-1238-8412; Elskens, Marc/0000-0002-8862-9422</t>
  </si>
  <si>
    <t>10.1007/s00300-007-0335-6</t>
  </si>
  <si>
    <t>WOS:000251717100010</t>
  </si>
  <si>
    <t>Wolff, EW</t>
  </si>
  <si>
    <t>Wolff, Eric W.</t>
  </si>
  <si>
    <t>When is the present'?</t>
  </si>
  <si>
    <t>Recent recommendations for the expression of time units in Quaternary Science Reviews appear still to leave room for confusion. Here, I propose that the entire palaeoclimate community should agree on the use of a common zero for age scales, with a clear and informative notation. I briefly review the options available in the hope that this will lead to a rapid discussion and conclusion. (c) 2007 Elsevier Ltd. All rights reserved.</t>
  </si>
  <si>
    <t>Wolff, EW (corresponding author), British Antarctic Survey, High Cross,Madingley Rd, Cambridge CB3 0ET, England.</t>
  </si>
  <si>
    <t>25-28</t>
  </si>
  <si>
    <t>10.1016/j.quascirev.2007.10.008</t>
  </si>
  <si>
    <t>256UT</t>
  </si>
  <si>
    <t>WOS:000252756100003</t>
  </si>
  <si>
    <t>Turney, CSM; Roberts, RG; de Jonge, N; Prior, C; Wilmshurst, JM; McGlone, MS; Cooper, J</t>
  </si>
  <si>
    <t>Turney, C. S. M.; Roberts, R. G.; de Jonge, N.; Prior, C.; Wilmshurst, J. M.; McGlone, M. S.; Cooper, J.</t>
  </si>
  <si>
    <t>Redating the advance of the New Zealand Franz Josef Glacier during the Last Termination: evidence for asynchronous climate change</t>
  </si>
  <si>
    <t>INTERGLACIAL TRANSITION; NORTH-ATLANTIC; SOUTHERN ALPS; C-14 AGES; WESTLAND; ISLAND; CALIBRATION; ANTARCTICA; VEGETATION; HISTORY</t>
  </si>
  <si>
    <t>Dating climatic and environmental records with accuracy and precision is critical if we are to robustly test hypotheses of synchronous change between the hemispheres. In the southern hemisphere, the advance of the New Zealand Franz Josef Glacier to the Waiho Loop terminal moraine has been used as evidence of synchronous global change during the Younger Dryas Chronozone. However, radiocarbon ages for wood incorporated into the sediments associated with the advance span an interval of similar to 900 years. Here we demonstrate that weathered 'old' wood was incorporated into the deposit prior to, or during, the advance, and that this material is highly susceptible to contamination by young carbon, resulting in the wide range of age estimates reported previously. We have identified material with little evidence of reworking (well-preserved wood with bark attached) that provides a statistically robust mean radiocarbon age of 11,062 +/- 30 BP (similar to 13.1 ka) for the advance of the Franz Josef Glacier. The timing of this event falls within the later part of the Antarctic Cold Reversal. Comparison with local, regional and global records suggests that cold conditions in the Southern Ocean were probably experienced in New Zealand at this time, driving the glacial advance. (c) 2007 Elsevier Ltd. All rights reserved.</t>
  </si>
  <si>
    <t>[Turney, C. S. M.; Roberts, R. G.] Univ Wollongong, Sch Earth &amp; Environm Sci, GeoQuEST Res Ctr, Wollongong, NSW 2522, Australia; [de Jonge, N.] Univ Utrecht, Fac Geosci, Dept Phys Geog, NL-3508 TC Utrecht, Netherlands; [Prior, C.; Cooper, J.] Inst Geol &amp; Nucl Sci, Rafter Radiocarbon Lab, Lower Hutt 5040, New Zealand; [Wilmshurst, J. M.; McGlone, M. S.] Landcare Res, Lincoln 7640, New Zealand</t>
  </si>
  <si>
    <t>University of Wollongong; Utrecht University; GNS Science - New Zealand; Landcare Research - New Zealand</t>
  </si>
  <si>
    <t>Turney, CSM (corresponding author), Univ Exeter, Sch Geog Archaeol &amp; Earth Resources, Exeter EX4 4RJ, Devon, England.</t>
  </si>
  <si>
    <t>c.s.m.turney@exeter.ac.uk</t>
  </si>
  <si>
    <t>Roberts, Richard Graham/B-8245-2013; Wilmshurst, Janet/O-8611-2019; Turney, Chris/P-8701-2018</t>
  </si>
  <si>
    <t>Roberts, Richard Graham/0000-0002-0128-4119; Wilmshurst, Janet/0000-0002-4474-8569; Turney, Chris/0000-0001-6733-0993</t>
  </si>
  <si>
    <t>10.1016/j.quascirev.2007.09.014</t>
  </si>
  <si>
    <t>WOS:000252756100006</t>
  </si>
  <si>
    <t>Ljung, K; Björck, S</t>
  </si>
  <si>
    <t>Ljung, K.; Bjoerck, S.</t>
  </si>
  <si>
    <t>Holocene climate and vegetation dynamics on Nightingale Island, South Atlantic -: an apparent interglacial bipolar seesaw in action?</t>
  </si>
  <si>
    <t>TRISTAN-DA-CUNHA; NORTH-ATLANTIC; BOMB RADIOCARBON; TREE-RINGS; VARIABILITY; RECORD; OCEAN; CALIBRATION; EVOLUTION; SECTOR</t>
  </si>
  <si>
    <t>High resolution analyses of a sediment sequence from an in-filled lake on Nightingale Island at 37 degrees S in the South Atlantic have revealed hydrological variations during the last 10 700 cal yr BP, which are linked to shifts in the Southern Hemisphere westerlies and the Meridional Overturning Circulation (MOC) in the Atlantic. The lowermost part of the sequence, 10 700-8600 cal yr BP, consists of peat. The peat is overlaid by gyttja, which continues up to the final overgrowing of the basin around 500 years ago. The transition from peat to gyttja at 8600 cal yr BP implies a significant increase in effective humidity, probably caused by a northward shift of the Southern Hemisphere westerlies after the end of the Antarctic thermal optimum. Recurring phases of increased erosion with high deposition of minerogenic particles, terrestrial organic matter (high C/N ratios), and pollen grains from plant taxa growing in more distal parts of the catchment, indicate periods with higher precipitation. These high precipitation periods correspond to periods of southward shifted Southern Hemisphere Westerlies inferred from South America and with periods of weaker MOC in the North Atlantic. Therefore we conclude that these periods, also characterized by decreased influence from marine aerosols, were not caused by the stronger westerlies, but by weaker MOC and less heat transport from the South to the North Atlantic causing warmer sea surface temperatures (SSTs) and increased precipitation in the South Atlantic. This is the expression of the bipolar seesaw mechanism and implies that it may have been operational also during interglacial conditions. (c) 2007 Published by Elsevier Ltd.</t>
  </si>
  <si>
    <t>[Ljung, K.; Bjoerck, S.] Lund Univ, Dept Geol, Geobiosphere Sci Ctr, SE-22362 Lund, Sweden</t>
  </si>
  <si>
    <t>Lund University</t>
  </si>
  <si>
    <t>Ljung, K (corresponding author), Lund Univ, Dept Geol, Geobiosphere Sci Ctr, Solvegatan 12, SE-22362 Lund, Sweden.</t>
  </si>
  <si>
    <t>karl.ljung@geol.lu.se</t>
  </si>
  <si>
    <t>Ljung, Karl/0000-0002-4290-7933</t>
  </si>
  <si>
    <t>10.1016/j.quascirev.2007.08.003</t>
  </si>
  <si>
    <t>WOS:000252756100014</t>
  </si>
  <si>
    <t>Heroy, DC; Anderson, JB</t>
  </si>
  <si>
    <t>Heroy, David C.; Anderson, John B.</t>
  </si>
  <si>
    <t>Radiocarbon constraints on Antarctic Peninsula Ice Sheet retreat following the Last Glacial Maximum (LGM)</t>
  </si>
  <si>
    <t>PLEISTOCENE-HOLOCENE RETREAT; SEA-FLOOR EVIDENCE; ROSS-SEA; CONTINENTAL-SHELF; LEVEL RECORD; HISTORY; WEST; SEDIMENTATION; SYSTEM; MARGIN</t>
  </si>
  <si>
    <t>We present marine sedimentologic and radiocarbon data for the timing of retreat of the largely marine-based Antarctic Peninsula Ice Sheet since the Last Glacial Maximum (LGM). Our findings indicate minimum estimates of deglaciation between 18,000 and 9000 calibrated years before present (cal yr BP), roughly in phase with the Northern Hemisphere deglaciation and eustatic sea-level rise. Our findings show this retreat occurred progressively from the outer, middle, and inner continental shelf regions, as well as progressively from the north to the south. Retreat initiated on the outer shelf of the northern Peninsula by similar to 18,000 cal yr BP and continued southward by similar to 14,000 cal yr BP on the outer shelf of Marguerite Bay, several thousand years earlier than estimated by numeric models. While individual cores yield estimates of glacial retreat that may vary up to +/- 1100 years, we note steps in the data occur at similar to 14,000 and possibly 11,000 cal yr BP, coincidental to rapidly rising (eustatic) sea level, including the well documented melt water pulses (MWP 1a and 1b). These data support the hypothesis that rapidly rising sea level is associated with marine ice sheet destabilization, although additional dates are necessary to substantiate this finding. This study highlights problems with radiocarbon dating acid insoluble organic (AIO) matter in proximal Lateglacial sediments as well as the need for more accurate dating techniques. (c) 2007 Elsevier Ltd. All rights reserved.</t>
  </si>
  <si>
    <t>[Heroy, David C.; Anderson, John B.] Rice Univ, Dept Earth Sci, MS 126, Houston, TX 77251 USA</t>
  </si>
  <si>
    <t>Rice University</t>
  </si>
  <si>
    <t>Heroy, DC (corresponding author), Rice Univ, Dept Earth Sci, MS 126, POB 1892, Houston, TX 77251 USA.</t>
  </si>
  <si>
    <t>davidheroy@gmail.com; johna@rice.edu</t>
  </si>
  <si>
    <t>Anderson, John/B-1011-2012</t>
  </si>
  <si>
    <t>10.1016/j.quascirev.2007.07.012</t>
  </si>
  <si>
    <t>WOS:000252756100021</t>
  </si>
  <si>
    <t>Stokstad, R</t>
  </si>
  <si>
    <t>Stokstad, R.</t>
  </si>
  <si>
    <t>IceCube - a Telescope to Map the Neutrino Sky</t>
  </si>
  <si>
    <t>REVISTA MEXICANA DE FISICA</t>
  </si>
  <si>
    <t>Neutrinos; Cerenkov detectors; cosmic rays</t>
  </si>
  <si>
    <t>HIGH-ENERGY NEUTRINOS; ASTROPHYSICS; AMANDA; DETECTORS; SELECTION; LIMITS; ICE</t>
  </si>
  <si>
    <t>IceCube is a neutrino telescope under construction at the South Pole. When finished it will encompass a cubic kilometer of ice residing 1500 m below the surface of the Antarctic ice sheet It is designed to discover and map the sources of high-energy neutrinos in the northern hemisphere. By February 2007, shortly after the Conference in Cocoyoc, there were 22 strings (of the 70+ envisioned), each with 60 photomultiplier tubes, working in the deep ice. The performance of the IceCube array with up to nine strings and some results from IceCube's predecessor, AMANDA (the Antarctic Muon and Neutrino Detector Array), are described here.</t>
  </si>
  <si>
    <t>[Stokstad, R.; IceCube Collaboration] Univ Calif Berkeley, Lawrence Berkeley Natl Lab, Berkeley, CA 94720 USA</t>
  </si>
  <si>
    <t>United States Department of Energy (DOE); Lawrence Berkeley National Laboratory; University of California System; University of California Berkeley</t>
  </si>
  <si>
    <t>Stokstad, R (corresponding author), Univ Calif Berkeley, Lawrence Berkeley Natl Lab, Berkeley, CA 94720 USA.</t>
  </si>
  <si>
    <t>National Science Foundation-Office of Polar Programs; National Science Foundation-Physics Division; University of Wisconsin Alumni Research Foundation; Department of Energy; National Energy Research Scientific Computing Center; Office of Energy Research of the Department of Energy; NSF; National Center for Supercomputing Applications (NCSA); Swedish Research Council; Swedish Polar Research Secretariat; Knut and Alice Wallenberg Foundation, Sweden; German Ministry for Education and Research; Deutsche Forschungsgemeinschaft (DFG), Germany; Fund for Scientific Research (FNRS-FWO); Flanders Institute to encourage scientific and technological research in industry (IWT); Belgian Federal Office for Scientific, Technical and Cultural affairs (OSTC); Netherlands Organization for Scientific Research (NWO)</t>
  </si>
  <si>
    <t>National Science Foundation-Office of Polar Programs(National Science Foundation (NSF)NSF - Directorate for Geosciences (GEO)); National Science Foundation-Physics Division(National Science Foundation (NSF)); University of Wisconsin Alumni Research Foundation; Department of Energy(United States Department of Energy (DOE)); National Energy Research Scientific Computing Center; Office of Energy Research of the Department of Energy(United States Department of Energy (DOE)); NSF(National Science Foundation (NSF)); National Center for Supercomputing Applications (NCSA); Swedish Research Council(Swedish Research Council); Swedish Polar Research Secretariat; Knut and Alice Wallenberg Foundation, Sweden(Knut &amp; Alice Wallenberg Foundation); German Ministry for Education and Research(Federal Ministry of Education &amp; Research (BMBF)); Deutsche Forschungsgemeinschaft (DFG), Germany(German Research Foundation (DFG)); Fund for Scientific Research (FNRS-FWO)(FWOFonds de la Recherche Scientifique - FNRS); Flanders Institute to encourage scientific and technological research in industry (IWT)(Institute for the Promotion of Innovation by Science and Technology in Flanders (IWT)); Belgian Federal Office for Scientific, Technical and Cultural affairs (OSTC); Netherlands Organization for Scientific Research (NWO)(Netherlands Organization for Scientific Research (NWO))</t>
  </si>
  <si>
    <t>We acknowledge the support of the following agencies: National Science Foundation-Office of Polar Programs, National Science Foundation-Physics Division, University of Wisconsin Alumni Research Foundation, Department of Energy, and National Energy Research Scientific Computing Center (supported by the Office of Energy Research of the Department of Energy), the NSF-supported TeraGrid systems at the San Diego Supercomputer Center (SDSC), and the National Center for Supercomputing Applications (NCSA); Swedish Research Council, Swedish Polar Research Secretariat, and Knut and Alice Wallenberg Foundation, Sweden; German Ministry for Education and Research, Deutsche Forschungsgemeinschaft (DFG), Germany; Fund for Scientific Research (FNRS-FWO), Flanders Institute to encourage scientific and technological research in industry (IWT), and Belgian Federal Office for Scientific, Technical and Cultural affairs (OSTC); The Netherlands Organization for Scientific Research (NWO).</t>
  </si>
  <si>
    <t>SOC MEXICANA FISICA</t>
  </si>
  <si>
    <t>COYOACAN</t>
  </si>
  <si>
    <t>APARTADO POSTAL 70-348, COYOACAN 04511, MEXICO</t>
  </si>
  <si>
    <t>0035-001X</t>
  </si>
  <si>
    <t>REV MEX FIS</t>
  </si>
  <si>
    <t>Rev. Mex. Fis.</t>
  </si>
  <si>
    <t>V38QN</t>
  </si>
  <si>
    <t>WOS:000209358000018</t>
  </si>
  <si>
    <t>Lebedev, SA</t>
  </si>
  <si>
    <t>Lebedev, S. A.</t>
  </si>
  <si>
    <t>Interannual trends in the Southern Ocean sea surface temperature and sea level from remote sensing data</t>
  </si>
  <si>
    <t>sea level; sea surface temperature; southern ocean; satellite altimetry; IR radiometry; interannual trend; Oceanography: General: Ocean data assimilation and reanalysis; Oceanography: Physical: Sea level: variations and mean; Oceanography: Physical: Instruments and techniques</t>
  </si>
  <si>
    <t>As it was shown recently, climate changes in Antarctica resulted in interannual trends of some climatic parameters like sea level atmospheric pressure, surface air temperature, ice thickness and others. These tendencies have effect on the Southern Ocean meteorological and hydrological regime. The following remote sensing data: AVHRR MCSST data, satellite altimetry data (merged data of mission ERS-2, TOPEX/Poseidon, Jason-1, ENVISAT, GFO-1) are used to analyze the interannual and/or climatic tendency of sea surface temperature (SST) and sea level anomaly (SLA). According to the obtained results, SST has positive trend 0.01 +/- 0.005 degrees C yr(-1) within 300-1000 km band northward of the Antarctic coast and negative trend -0.02 +/- 0.003 degrees C yr-1 on average for the Southern Ocean for 24-yr record (1982-2005). SLA has interannual trend 0.24 +/- 0.026 cm yr(-1) for 12-yr record (1993-2005). However in some areas (for example, Pacific-Antarctic Ridge) SST and SLA tendencies are stronger -0.065 +/- 0.007 degrees C yr(-1) and -0.21 +/- 0.05 cm yr(-1), respectively.</t>
  </si>
  <si>
    <t>[Lebedev, S. A.] Russian Acad Sci, Geophys Ctr, Moscow, Russia; [Lebedev, S. A.] State Oceanog Inst, Moscow, Russia</t>
  </si>
  <si>
    <t>Russian Academy of Sciences; Geophysical Center of the Russian Academy of Sciences</t>
  </si>
  <si>
    <t>Lebedev, SA (corresponding author), Russian Acad Sci, Geophys Ctr, Moscow, Russia.</t>
  </si>
  <si>
    <t>Lebedev, Sergey A/A-8233-2014</t>
  </si>
  <si>
    <t>Lebedev, Sergey A/0000-0002-4976-7136</t>
  </si>
  <si>
    <t>Russian Foundation for Basic Research [06-05-64871-a, 07-05-00141-a, 06-01-08055-ofi]</t>
  </si>
  <si>
    <t>This study was supported by the Russian Foundation for Basic Research grants 06-05-64871-a, 06-01-08055-ofi and 07-05-00141-a.</t>
  </si>
  <si>
    <t>ES3003</t>
  </si>
  <si>
    <t>10.2205/2007ES000283</t>
  </si>
  <si>
    <t>V6Z0X</t>
  </si>
  <si>
    <t>WOS:000420745800004</t>
  </si>
  <si>
    <t>Munilla, T; Soler-Membrives, A</t>
  </si>
  <si>
    <t>Munilla, Tomas; Soler-Membrives, Anna</t>
  </si>
  <si>
    <t>The occurrence of pycnogonids associated with the volcanic structures of Bransfield Strait central basin (Antarctica)</t>
  </si>
  <si>
    <t>SCIENTIA MARINA</t>
  </si>
  <si>
    <t>Antarctic waters; Bransfield Strait; Gebrap-96 Cruise; Pycnogonida; volcanic structures</t>
  </si>
  <si>
    <t>SOUTHEASTERN WEDDELL SEA; HYDROTHERMAL VENTS; COMMUNITIES; ARTHROPODA; ISLANDS; SHELF</t>
  </si>
  <si>
    <t>Fifty-four specimens of pycnogonids belonging to twenty-two species, eight genera and six families were collected with a rocky dredge during the cruise Gebrap-96 in the central basin of Bransfield Strait, from depths between 647 and 1592 m. The richest station in terms of abundance and biomass was DR6 (south of Livingston Island), which was also the shallowest one; at this relatively shallow depth food is more available than in deeper waters. The families Nymphonidae and Colossendeidae had the same number of specimens (21 specimens; 39% abundance each). The most abundant species were Nymphon villosum and N. proximum. Pallenopsis buphthalmus was collected for only the third time. The collections increased the geographical distribution of three species and the depth range of six species. The volcanic structures sampled were inactive during 1996, since none of the specimens showed signs of hydrothermal phenomena. This collection was typically representative of the west Antarctic benthic zone.</t>
  </si>
  <si>
    <t>[Munilla, Tomas; Soler-Membrives, Anna] Univ Autonoma Barcelona, Zool Lab, E-08193 Barcelona, Spain</t>
  </si>
  <si>
    <t>Autonomous University of Barcelona</t>
  </si>
  <si>
    <t>Munilla, T (corresponding author), Univ Autonoma Barcelona, Zool Lab, E-08193 Barcelona, Spain.</t>
  </si>
  <si>
    <t>Tomas.munilla@uab.es</t>
  </si>
  <si>
    <t>Soler-Membrives, Anna/L-3169-2014</t>
  </si>
  <si>
    <t>Soler-Membrives, Anna/0000-0002-6543-8367</t>
  </si>
  <si>
    <t>CONSEJO SUPERIOR INVESTIGACIONES CIENTIFICAS-CSIC</t>
  </si>
  <si>
    <t>MADRID</t>
  </si>
  <si>
    <t>VITRUVIO 8, 28006 MADRID, SPAIN</t>
  </si>
  <si>
    <t>0214-8358</t>
  </si>
  <si>
    <t>1886-8134</t>
  </si>
  <si>
    <t>SCI MAR</t>
  </si>
  <si>
    <t>Sci. Mar.</t>
  </si>
  <si>
    <t>10.3989/scimar.2007.71n4699</t>
  </si>
  <si>
    <t>248GT</t>
  </si>
  <si>
    <t>WOS:000252141500007</t>
  </si>
  <si>
    <t>Vats, P; Singh, SN; Singh, VK; Shyam, R; Upadhyay, TN; Singh, SB; Banerjee, PK</t>
  </si>
  <si>
    <t>Vats, Praveen; Singh, Sorn N.; Singh, Vijay K.; Shyam, Radhey; Upadhyay, Tribhuvan N.; Singh, Shashi B.; Banerjee, Pratul K.</t>
  </si>
  <si>
    <t>Changes in vitamin status of Indian Antarctic expeditioners during a one-month stay in Austral Smmer</t>
  </si>
  <si>
    <t>WILDERNESS &amp; ENVIRONMENTAL MEDICINE</t>
  </si>
  <si>
    <t>processed food; transketolase; glutathione reductase; aspartate aminotransferase; ascorbic acid</t>
  </si>
  <si>
    <t>NUTRITIONAL-STATUS; NICOTINIC-ACID; ASCORBIC-ACID; COLD; SUPPLEMENTATION; EXERCISE; REQUIREMENTS; GLUTATHIONE; FROSTBITE; TISSUES</t>
  </si>
  <si>
    <t>Objective.-Antarctic expeditioners face extremes of environmental conditions along with isolation which affect normal human activity at a polar station. Diets of polar expeditioners consist of products that have been kept in storage for more than a year. Processing and preservation adversely affect the nutritive value of the food products, especially water-soluble vitamins. This study was conducted to determine water-soluble vitamin status of Antarctic expeditioners consuming processed canned food. Methods.-Twenty-two healthy male volunteers age 26 to 56 years (39.5 +/- 8.5, mean +/- SD) participated in the study. The study was conducted in 3 phases: at Goa, India (phase 1), 48 hours after arriving in Antarctica (phase 11) and after I month in Antarctica (phase 111). Water-soluble vitamin status in erythrocytes was assessed at each phase with evaluation of riboflavin, thiamine, and pyridoxine status. Urinary N-methyl nicotinamide and methylmalonic acid (MMA) levels were measured to assess niacin and vitamin B-12 status. Blood plasma assays were used to assess ascorbic acid status. Results.-No significant changes in riboflavin, thiamine, and pyridoxine status in erythrocytes and urinary excretion levels were observed after I month in Antarctica. Vitamin C levels decreased significantly (P &lt;.001) after 1 month in Antarctica compared with basal values (1.31 +/- 0.076 mg/dL during phase I to 0.81 +/- 0.063 mg/dL during phase III). However, these levels were still within the normal reference range. Conclusion.-This study found no water-soluble vitamin deficiencies in participants consuming processed and canned food after I month in Antarctica.</t>
  </si>
  <si>
    <t>Def Inst Physiol &amp; Allied Sci, Delhi 110054, India</t>
  </si>
  <si>
    <t>Defence Research &amp; Development Organisation (DRDO); Defence Institute of Physiology &amp; Allied Sciences (DIPAS)</t>
  </si>
  <si>
    <t>Vats, P (corresponding author), Def Inst Physiol &amp; Allied Sci, Lucknow Rd, Delhi 110054, India.</t>
  </si>
  <si>
    <t>vatsp2001@rediffmail.com</t>
  </si>
  <si>
    <t>Singh, Shashi Bala/AAS-9889-2021</t>
  </si>
  <si>
    <t>Vats, Praveen/0000-0002-0105-5041</t>
  </si>
  <si>
    <t>ALLIANCE COMMUNICATIONS GROUP DIVISION ALLEN PRESS</t>
  </si>
  <si>
    <t>810 EAST 10TH STREET, LAWRENCE, KS 66044 USA</t>
  </si>
  <si>
    <t>1080-6032</t>
  </si>
  <si>
    <t>WILD ENVIRON MED</t>
  </si>
  <si>
    <t>Wildern. Environ. Med.</t>
  </si>
  <si>
    <t>WIN</t>
  </si>
  <si>
    <t>10.1580/06-WEME-OR-004R3.1</t>
  </si>
  <si>
    <t>Public, Environmental &amp; Occupational Health; Sport Sciences</t>
  </si>
  <si>
    <t>244BB</t>
  </si>
  <si>
    <t>WOS:000251839900002</t>
  </si>
  <si>
    <t>Smith, AM</t>
  </si>
  <si>
    <t>Smith, Abigail M.</t>
  </si>
  <si>
    <t>Age, growth and carbonate production by erect rigid bryozoans in Antarctica</t>
  </si>
  <si>
    <t>PALAEOGEOGRAPHY PALAEOCLIMATOLOGY PALAEOECOLOGY</t>
  </si>
  <si>
    <t>Ross Sea; bryozoans; carbonate production; calcification; cheilostomata</t>
  </si>
  <si>
    <t>NEW-ZEALAND; COMMUNITY-DEVELOPMENT; PENTAPORA-FASCIALIS; MELICERITA-OBLIQUA; SOUTHERN AUSTRALIA; FOLIACEA BRYOZOA; COOL-WATER; ROSS SEA; SHELF; VARIABILITY</t>
  </si>
  <si>
    <t>Well-calcified marine bryozoans are often important producers of temperate and polar shelf carbonate sediments. In cold waters, bryozoans can be long-lived, and their skeletons therefore reflect many years of growth and carbonate production. This study examines growth, age, and calcification in 12 specimens of three species of cheilostomate Antarctic bryozoans from the Ross Sea (77 degrees 53.394' S and 166 degrees 40.286' E, 500 m water depth). Cellarinella nutti and C. nodulata, erect branching bryozoans in the family Sclerodomidae, reached a maximum age of 18 years, grew I to 8 mm/year and added new carbonate at a rate of 3 to 57 mg/year. Swanomia belgica, family Cellariidae, reached a maximum age of 23 years, added to branch length at I to 4.4 mm/year and calcified at 1 to 23 mg/year. Antarctic bryozoans can be quite long-lived (up to 50 years), but they exhibit slower growth rates than their temperate counterparts, perhaps due to the shortness of the growing season. Seasonal growth checks in many erect Antarctic bryozoans may result from low food availability in winter. There is a clear relationship between growth rate and age, where the polar cellariid bryozoans that live the longest are the slowest-growing. The combination of slow growth, long life-spans, and seasonal growth checks make Antarctic erect bryozoans excellent recorders of environmental conditions and benthic calcification. Calcification rates in Antarctic cellarinellids are generally low: 10-20 g CaCO(3)/year, with sedimentation rates of about 0.3 to 1.0 g CaCO(3)/m(2)/year. Carbonate sediments in which bryozoans are a significant component must accumulate at slow rates in the Antarctic. (c) 2007 Elsevier B.V. All rights reserved.</t>
  </si>
  <si>
    <t>[Smith, Abigail M.] Univ Otago, Dept Marine Sci, Dunedin, New Zealand</t>
  </si>
  <si>
    <t>Smith, AM (corresponding author), Univ Otago, Dept Marine Sci, PO Box 56, Dunedin, New Zealand.</t>
  </si>
  <si>
    <t>abbysmith@stonebow.otago.ac.nz</t>
  </si>
  <si>
    <t>Smith, Abigail/F-7714-2011</t>
  </si>
  <si>
    <t>Smith, Abigail/0000-0001-6468-9124</t>
  </si>
  <si>
    <t>0031-0182</t>
  </si>
  <si>
    <t>PALAEOGEOGR PALAEOCL</t>
  </si>
  <si>
    <t>Paleogeogr. Paleoclimatol. Paleoecol.</t>
  </si>
  <si>
    <t>NOV 30</t>
  </si>
  <si>
    <t>10.1016/j.palaeo.2007.09.007</t>
  </si>
  <si>
    <t>Geography, Physical; Geosciences, Multidisciplinary; Paleontology</t>
  </si>
  <si>
    <t>Physical Geography; Geology; Paleontology</t>
  </si>
  <si>
    <t>243IM</t>
  </si>
  <si>
    <t>WOS:000251790000005</t>
  </si>
  <si>
    <t>Gogineni, S; Braaten, D; Allen, C; Paden, J; Akins, T; Kanagaratnarn, P; Jezek, K; Prescott, G; Jayaraman, G; Ramasami, V; Lewis, C; Dunson, D</t>
  </si>
  <si>
    <t>Gogineni, Sivaprasad; Braaten, David; Allen, Chnis; Paden, John; Akins, Torry; Kanagaratnarn, Pannir; Jezek, Ken; Prescott, Glenn; Jayaraman, Gunashekar; Ramasami, ViJaya; Lewis, Cameron; Dunson, David</t>
  </si>
  <si>
    <t>Polar radar for ice sheet measurements (PRISM)</t>
  </si>
  <si>
    <t>REMOTE SENSING OF ENVIRONMENT</t>
  </si>
  <si>
    <t>radar; ice sheet; bed topography; accumulation layers</t>
  </si>
  <si>
    <t>SYNTHETIC-APERTURE RADAR; CORE PROJECT; SOUNDER DATA; SEA-LEVEL; GREENLAND; GLACIER; ANTARCTICA; BALANCE; RISE</t>
  </si>
  <si>
    <t>We provide an overview of a project to develop and demonstrate radars for imaging the ice-bed interface, mapping shallow and deep internal layers, and measuring ice thickness. We developed an ultra-wideband very high-frequency (VHF) radar (120 to 300 MHz) for simultaneously measuring ice thickness, mapping internal layers at depth, and imaging the ice-bed interface, and an ultra high-frequency (UHF) ultra-wideband radar (500 to 2000 MHz) for fine-resolution mapping of near-surface internal layers. We used these radars to collect data at Summit Camp, Greenland, during July 2005, and the West Antarctic Ice Sheet (WAIS) deep drill core site during January 2006. These results provide us with an unprecedented view of basal characteristics and internal layers. We also developed an outreach program, a communications system, and rovers to facilitate geophysical measurements in the future. (c) 2007 Elsevier Inc. All rights reserved.</t>
  </si>
  <si>
    <t>Univ Kansas, Ctr Remote Sensing Ice Sheets, Lawrence, KS 66045 USA; Ohio State Univ, Byrd Polar Res Ctr, Columbus, OH 43210 USA</t>
  </si>
  <si>
    <t>University of Kansas; University System of Ohio; Ohio State University</t>
  </si>
  <si>
    <t>Gogineni, S (corresponding author), Univ Kansas, Ctr Remote Sensing Ice Sheets, Lawrence, KS 66045 USA.</t>
  </si>
  <si>
    <t>gogineni@cresis.ku.edu</t>
  </si>
  <si>
    <t>360 PARK AVE SOUTH, NEW YORK, NY 10010-1710 USA</t>
  </si>
  <si>
    <t>0034-4257</t>
  </si>
  <si>
    <t>REMOTE SENS ENVIRON</t>
  </si>
  <si>
    <t>Remote Sens. Environ.</t>
  </si>
  <si>
    <t>10.1016/j.rse.2007.01.022</t>
  </si>
  <si>
    <t>234QF</t>
  </si>
  <si>
    <t>WOS:000251178000008</t>
  </si>
  <si>
    <t>Scambos, TA; Haran, TM; Fahnestock, MA; Painter, TH; Bohlander, J</t>
  </si>
  <si>
    <t>Scambos, T. A.; Haran, T. M.; Fahnestock, M. A.; Painter, T. H.; Bohlander, J.</t>
  </si>
  <si>
    <t>MODIS-based Mosaic of Antarctica (MOA) data sets: Continent-wide surface morphology and snow grain size</t>
  </si>
  <si>
    <t>Antarctica; MOA; surface morphology; snow grain size; MODIS; data cumulation</t>
  </si>
  <si>
    <t>ICE-SHELF; RESOLUTION; IMAGE; REFLECTANCE; STREAMS; SHEET; FLOW</t>
  </si>
  <si>
    <t>We present digital image mosaics of surface morphology and optical snow grain size for the Antarctic continent and surrounding islands, assembled from 260 Moderate-resolution Imaging Spectroradiometer (MODIS) images. The products are derived from MODIS band I (red light: similar to 647 nm) and band 2 (infrared: similar to 857 nm) orbit swath data acquired during the 2003-2004 austral summer. Multiple images of all areas are combined in a data cumulation scheme to improve spatial resolution and increase radiometric content of the mosaics. The component images were de-striped, geo-registered, and re-sampled to the projection grid using the MODIS Swath-to-Grid Toolbox (MS2GT) software. A 125 m ground-equivalent polar stereographic projection was used, identical to previous radar image mosaics and similar to several other continent-wide data sets. Geo-location accuracy of the final mosaics is better than 125 m. Swath acquisition times were limited to the range 05:00-13:30 UT to provide broad but uniform mosaic illumination. Regions of cloud cover, blowing snow, and intense forward scattering were masked prior to compositing. The MOA snow grain size data set image provides the first continent-wide semi-quantitative map of mean summer snow, firn, and blue ice grain size. Optical grain size (radius) was determined using a normalized difference index derived from MODIS band I and band 2 rad values. Atmospheric correction, adjustments for directional reflectance variation and snow grain size estimation were accomplished by a look-up table, generated by a combination of published models of snow spectral reflectance and atmosphere radiative transfer. Validation of the snow grain size image is provided by in situ spectra of snow-covered sea ice made in October, 2003. We use the new data sets to determine major ice shelf areas, and shelf edge, coastline, and ice grounding line vector files, and determine areas of selected blue ice regions. These data sets are available for download at http://nsidc.org/data/moa/. (c) 2007 Published by Elsevier Inc.</t>
  </si>
  <si>
    <t>Univ Colorado, Natl Snow &amp; Ice Data Ctr, Cooperat Inst Res Environm Sci, Boulder, CO 80309 USA; Univ New Hampshire, Inst Study Earth Oceans &amp; Space, Durham, NH 03824 USA</t>
  </si>
  <si>
    <t>University of Colorado System; University of Colorado Boulder; University System Of New Hampshire; University of New Hampshire</t>
  </si>
  <si>
    <t>Scambos, TA (corresponding author), Univ Colorado, Natl Snow &amp; Ice Data Ctr, Cooperat Inst Res Environm Sci, 1540 30th St, Boulder, CO 80309 USA.</t>
  </si>
  <si>
    <t>teds@icehouse.colorado.edu</t>
  </si>
  <si>
    <t>Scambos, Ted A/B-1856-2009; Fahnestock, Mark A/N-2678-2013; Painter, Thomas H./AAC-9493-2019; Painter, Thomas/B-7806-2016; Painter, Thomas/P-1284-2019</t>
  </si>
  <si>
    <t>Painter, Thomas H./0000-0002-7963-5812; SCAMBOS, Ted A./0000-0003-4268-6322</t>
  </si>
  <si>
    <t>1879-0704</t>
  </si>
  <si>
    <t>10.1016/j.rse.2006.12.020</t>
  </si>
  <si>
    <t>WOS:000251178000011</t>
  </si>
  <si>
    <t>Connolley, WM; Bracegirdle, TJ</t>
  </si>
  <si>
    <t>Connolley, William M.; Bracegirdle, Thomas J.</t>
  </si>
  <si>
    <t>An antarctic assessment of IPCC AR4 coupled models</t>
  </si>
  <si>
    <t>SOUTHERN-HEMISPHERE CLIMATE; SEA-ICE; VARIABILITY; ERA-40</t>
  </si>
  <si>
    <t>[ 1] We assess 19 coupled models from the IPCC fourth assessment report archive from the simulation of the 20th century, based on the calculation of  skill scores.'' The models show a wide range of scores when assessed against Antarctic or global measures of large- scale circulation indices. Except for continental mass balance, the model average proves a more reliable estimate than that for any one model. Individual models show a very wide scatter in simulated Antarctic temperature trends over the past century; the large trend over the Antarctic peninsula in winter is not well represented, which makes it clear that whatever has been driving these trends is not well captured by many GCMs. Trends in temperature are clearly linked to the sea ice simulation, another variable that most models do not simulate well.</t>
  </si>
  <si>
    <t>Connolley, WM (corresponding author), British Antarctic Survey, Madingley Rd, Cambridge CB3 0ET, England.</t>
  </si>
  <si>
    <t>Bracegirdle, Thomas/0000-0002-8868-4739</t>
  </si>
  <si>
    <t>NOV 29</t>
  </si>
  <si>
    <t>L22505</t>
  </si>
  <si>
    <t>10.1029/2007GL031648</t>
  </si>
  <si>
    <t>237AO</t>
  </si>
  <si>
    <t>WOS:000251345100006</t>
  </si>
  <si>
    <t>Rosen, DAS; Winship, AJ; Hoopes, LA</t>
  </si>
  <si>
    <t>Rosen, David A. S.; Winship, Arliss J.; Hoopes, Lisa A.</t>
  </si>
  <si>
    <t>Thermal and digestive constraints to foraging behaviour in marine mammals</t>
  </si>
  <si>
    <t>digestion; thermoregulation; foraging; diving; marine mammals; bioenergetics</t>
  </si>
  <si>
    <t>STELLER SEA LIONS; ANTARCTIC FUR SEALS; BOTTLE-NOSED DOLPHINS; MIROUNGA-ANGUSTIROSTRIS PUPS; DIVING WEDDELL SEALS; BODY-TEMPERATURE; HEAT INCREMENT; OXYGEN-CONSUMPTION; METABOLIC-RATE; TURSIOPS-TRUNCATUS</t>
  </si>
  <si>
    <t>While foraging models of terrestrial mammals are concerned primarily with optimizing time/energy budgets, models of foraging behaviour in marine mammals have been primarily concerned with physiological constraints. This has historically centred on calculations of aerobic dive limits. However, other physiological limits are key to forming foraging behaviour, including digestive limitations to food intake and thermoregulation. The ability of an animal to consume sufficient prey to meet its energy requirements is partly determined by its ability to acquire prey ( limited by available foraging time, diving capabilities and thermoregulatory costs) and process that prey ( limited by maximum digestion capacity and the time devoted to digestion). Failure to consume sufficient prey will have feedback effects on foraging, thermoregulation and digestive capacity through several interacting avenues. Energy deficits will be met through catabolism of tissues, principally the hypodermal lipid layer. Depletion of this blubber layer can affect both buoyancy and gait, increasing the costs and decreasing the efficiency of subsequent foraging attempts. Depletion of the insulative blubber layer may also increase thermoregulatory costs, which will decrease the foraging abilities through higher metabolic overheads. Thus, an energy deficit may lead to a downward spiral of increased tissue catabolism to pay for increased energy costs. Conversely, the heat generated through digestion and foraging activity may help to offset thermoregulatory costs. Finally, the circulatory demands of diving, thermoregulation and digestion may be mutually incompatible. This may force animals to alter time budgets to balance these exclusive demands. Analysis of these interacting processes will lead to a greater understanding of the physiological constraints within which the foraging behaviour must operate.</t>
  </si>
  <si>
    <t>Univ British Columbia, Marine Mammal Res Unit, Vancouver, BC V6T 1Z4, Canada; Univ St Andrews, St Andrews KY16 8LB, Fife, Scotland; Texas A&amp;M Univ, College Stn, TX 77843 USA</t>
  </si>
  <si>
    <t>University of British Columbia; University of St Andrews; Texas A&amp;M University System; Texas A&amp;M University College Station</t>
  </si>
  <si>
    <t>Rosen, DAS (corresponding author), Univ British Columbia, Marine Mammal Res Unit, Room 243,AERL,2202 Main Mall, Vancouver, BC V6T 1Z4, Canada.</t>
  </si>
  <si>
    <t>rosen@zoology.ubc.ca</t>
  </si>
  <si>
    <t>10.1098/rstb.2007.2108</t>
  </si>
  <si>
    <t>221JW</t>
  </si>
  <si>
    <t>WOS:000250224500017</t>
  </si>
  <si>
    <t>Bailleul, F; Charrassin, JB; Monestiez, P; Roquet, F; Biuw, M; Guinet, C</t>
  </si>
  <si>
    <t>Bailleul, Frederic; Charrassin, Jean-Benoit; Monestiez, Pascal; Roquet, Fabien; Biuw, Martin; Guinet, Christophe</t>
  </si>
  <si>
    <t>Successful foraging zones of southern elephant seals from the Kerguelen Islands in relation to oceanographic conditions</t>
  </si>
  <si>
    <t>Mirounga leonina; marine ecology; foraging behaviour; drift dives; temperature profiles; satellite telemetry</t>
  </si>
  <si>
    <t>ANTARCTIC FUR SEALS; MIROUNGA-LEONINA; DIVING BEHAVIOR; SATELLITE TELEMETRY; ARCTOCEPHALUS-GAZELLA; SPATIAL-DISTRIBUTION; NITROGEN TENSIONS; KING PENGUINS; INDIAN-OCEAN; WATER MASSES</t>
  </si>
  <si>
    <t>Southern elephant seals, Mirounga leonina, undertake large-scale oceanic movements to access favourable foraging areas. Successful foraging areas of elephant seals from the Kerguelen Islands are investigated here in relation to oceanographic parameters. Movements and diving activity of the seals as well as oceanographic data were collected through a new generation of satellite relayed devices measuring and transmitting locations, pressure, temperature and salinity. For the first time, we have associated foraging behaviour, determined by high increased sinuosity in tracks, and dive density (i.e. number of dives performed per kilometre covered), and changes in body condition, determined by variations in drift rate obtained from drift dives, to identify the oceanographic conditions of successful foraging zones for this species. Two main sectors, one close to the Antarctic continent and the other along the Polar Front (PF), where both foraging activity and body condition increase, seem to be of particular interest for the seals. Within these regions, some seals tended to focus their foraging activity on zones with particular temperature signatures. Along the Antarctic continent, some seals targeted colder waters on the sea bottom during benthic dives, while at the PF the favourable zones tended to be warmer. The possible negative effect of colder waters in Antarctic on the swimming performances of potential fish or squid prey could explain the behaviour of elephant seals in these zones, while warmer waters within the PF could correspond to the optimal conditions for potential myctophid prey of elephant seals.</t>
  </si>
  <si>
    <t>Ctr Nacl Rech Sci, Ctr Etudes Biol Chize, F-79360 Villiers En Bois, France; Natl Museum Nat Hist, DMPA, Equipe Phys Ocean Austral, F-75231 Paris 05, France; INRA, Unite Biometrie, F-84914 Avignon 9, France; Univ St Andrews, Gatty Marine Lab, NERC, Sea Mammal Res Unit, St Andrews KY16 8LB, Fife, Scotland</t>
  </si>
  <si>
    <t>Museum National d'Histoire Naturelle (MNHN); INRAE; University of St Andrews; UK Research &amp; Innovation (UKRI); Natural Environment Research Council (NERC)</t>
  </si>
  <si>
    <t>Bailleul, F (corresponding author), Ctr Nacl Rech Sci, Ctr Etudes Biol Chize, F-79360 Villiers En Bois, France.</t>
  </si>
  <si>
    <t>bailleul@cebc.cnrs.fr</t>
  </si>
  <si>
    <t>Biuw, Martin/AAF-9895-2021; Roquet, Fabien/D-4848-2013; Roquet, Fabien/N-3221-2019; Guinet, Christophe/AAR-8457-2020</t>
  </si>
  <si>
    <t>Roquet, Fabien/0000-0003-1124-4564; Monestiez, Pascal/0000-0001-5851-2699; Biuw, Martin/0000-0001-8051-3399</t>
  </si>
  <si>
    <t>10.1098/rstb.2007.2109</t>
  </si>
  <si>
    <t>WOS:000250224500018</t>
  </si>
  <si>
    <t>Keeley, SPE; Gillett, NP; Thompson, DWJ; Solomon, S; Forster, PM</t>
  </si>
  <si>
    <t>Keeley, S. P. E.; Gillett, N. P.; Thompson, D. W. J.; Solomon, S.; Forster, P. M.</t>
  </si>
  <si>
    <t>Is Antarctic climate most sensitive to ozone depletion in the middle or lower stratosphere?</t>
  </si>
  <si>
    <t>SOUTHERN-HEMISPHERE; TEMPERATURE TRENDS; TROPOSPHERE; DECADES; MODEL</t>
  </si>
  <si>
    <t>Antarctic stratospheric ozone depletion has been associated with an observed downward trend in tropospheric geopotential height and temperature. Stratospheric ozone depletion peaks in October November, whereas tropospheric trends are largest in December-January, concurrent with maximum ozone changes close to the tropopause. Surface temperatures are most sensitive to ozone loss near the tropopause, therefore it has been suggested that the observed tropospheric response is forced mainly by ozone depletion in the lower stratosphere. In this study the climate response to ozone depletion exclusively below 164 hPa is simulated using HadSM3-L64, and compared with simulations in which ozone depletion is prescribed exclusively above 164 hPa. Results indicate that the tropospheric response is dominated by ozone changes above 164 hPa, with ozone changes in the lowermost stratosphere playing an insignificant role. A tropospheric response is also seen in fall/winter which agrees well with observations and has not been found in modeling studies previously.</t>
  </si>
  <si>
    <t>Univ E Anglia, Sch Environm Sci, Climat Res Unit, Norwich NR4 7TJ, Norfolk, England; Univ Leeds, Sch Earth &amp; Environm, Leeds LS2 9JT, W Yorkshire, England; NOAA, Earth Syst Res Lab, Div Chem Sci, Boulder, CO 80305 USA; Colorado State Univ, Dept Atmospher Sci, Ft Collins, CO 80523 USA</t>
  </si>
  <si>
    <t>University of East Anglia; University of Leeds; National Oceanic Atmospheric Admin (NOAA) - USA; Colorado State University</t>
  </si>
  <si>
    <t>Keeley, SPE (corresponding author), Univ E Anglia, Sch Environm Sci, Climat Res Unit, Norwich NR4 7TJ, Norfolk, England.</t>
  </si>
  <si>
    <t>s.keeley@uea.ac.uk</t>
  </si>
  <si>
    <t>Forster, Piers/F-9829-2010; Thompson, David W J/F-9627-2012; Keeley, Sarah P E/G-3352-2016; Thompson, David/C-3520-2008</t>
  </si>
  <si>
    <t>Forster, Piers/0000-0002-6078-0171; Thompson, David W J/0000-0002-5413-4376; Keeley, Sarah P E/0000-0002-8046-765X;</t>
  </si>
  <si>
    <t>Natural Environment Research Council [ncas10009, NE/D000440/1] Funding Source: researchfish; NERC [NE/D000440/1] Funding Source: UKRI</t>
  </si>
  <si>
    <t>NOV 28</t>
  </si>
  <si>
    <t>L22812</t>
  </si>
  <si>
    <t>10.1029/2007GL031238</t>
  </si>
  <si>
    <t>237AN</t>
  </si>
  <si>
    <t>WOS:000251345000002</t>
  </si>
  <si>
    <t>[Anonymous]</t>
  </si>
  <si>
    <t>Antarctic stare</t>
  </si>
  <si>
    <t>NOV 24</t>
  </si>
  <si>
    <t>233YA</t>
  </si>
  <si>
    <t>WOS:000251125000031</t>
  </si>
  <si>
    <t>Coquelle, N; Fioravanti, E; Weik, M; Vellieux, F; Madern, D</t>
  </si>
  <si>
    <t>Coquelle, Nicolas; Fioravanti, Emanuela; Weik, Martin; Vellieux, Frederic; Madern, Dominique</t>
  </si>
  <si>
    <t>Activity, stability and structural studies of lactate dehydrogenases adapted to extreme thermal environments</t>
  </si>
  <si>
    <t>JOURNAL OF MOLECULAR BIOLOGY</t>
  </si>
  <si>
    <t>lactate dehydrogenase; cold adaptation; thermal stability; crystal structure; protein evolution</t>
  </si>
  <si>
    <t>ENZYME-SUBSTRATE COMPLEX; MALATE-DEHYDROGENASE; NEUTRON-SCATTERING; CRYSTAL-STRUCTURE; PROTEIN DYNAMICS; COLD ADAPTATION; BACILLUS-STEAROTHERMOPHILUS; HYPERTHERMOPHILIC ENZYMES; ISOCITRATE DEHYDROGENASE; THERMOTOGA-MARITIMA</t>
  </si>
  <si>
    <t>Lactate dehydrogenase (LDH) catalyzes the conversion of pyruvate to lactate with concomitant oxidation of NADH during the last step in anaerobic glycolysis. In the present study, we present a comparative biochemical and structural analysis of various LDHs adapted to function over a large temperature range. The enzymes were from Champsocephalus gunnari (an Antarctic fish), Deinococcus radiodurans (a mesophilic bacterium) and Thermus thermophilus (a hyperthermophilic bacterium). The thermodynamic activation parameters of these LDHs indicated that temperature adaptation from hot to cold conditions was due to a decrease in the activation enthalpy and an increase in activation entropy. The crystal structures of these LDHs have been solved. Pairwise comparisons at the structural level, between hyperthermophilic versus mesophilic LDHs and mesophilic versus psychrophilic LDHs, have revealed that temperature adaptation is due to a few amino acid substitutions that are localized in critical regions of the enzyme. These substitutions, each having accumulating effects, play a role in either the conformational stability or the local flexibility or in both. Going from hot- to cold-adapted LDHs, the various substitutions have decreased the number of ion pairs, reduced the size of ionic networks, created unfavorable interactions involving charged residues and induced strong local disorder. The analysis of the LDHs adapted to extreme temperatures shed light on how evolutionary processes shift the subtle balance between overall stability and flexibility of an enzyme. (c) 2007 Elsevier Ltd. All rights reserved.</t>
  </si>
  <si>
    <t>CEA CNRS UJI, Inst Biol Struct JP Ebel, Mol Biophys Lab, UMR 5075, F-38027 Grenoble, France; ESRF, F-38043 Grenoble, France</t>
  </si>
  <si>
    <t>Communaute Universite Grenoble Alpes; Universite Grenoble Alpes (UGA); CEA; Centre National de la Recherche Scientifique (CNRS); CNRS - National Institute for Biology (INSB); European Synchrotron Radiation Facility (ESRF)</t>
  </si>
  <si>
    <t>Vellieux, F (corresponding author), CEA CNRS UJI, Inst Biol Struct JP Ebel, Mol Biophys Lab, UMR 5075, 41 Rue Jules Horowits, F-38027 Grenoble, France.</t>
  </si>
  <si>
    <t>Frederic.Vellieux@ibs.fr; Dominique.Madern@ibs.fr</t>
  </si>
  <si>
    <t>Vellieux, Frederic/J-4829-2019; Weik, Martin/M-2770-2017</t>
  </si>
  <si>
    <t>Vellieux, Frederic/0000-0002-1922-5707; Weik, Martin/0000-0001-9297-642X; Coquelle, Nicolas/0000-0002-8501-4908</t>
  </si>
  <si>
    <t>0022-2836</t>
  </si>
  <si>
    <t>J MOL BIOL</t>
  </si>
  <si>
    <t>J. Mol. Biol.</t>
  </si>
  <si>
    <t>NOV 23</t>
  </si>
  <si>
    <t>10.1016/j.jmb.2007.09.049</t>
  </si>
  <si>
    <t>238PO</t>
  </si>
  <si>
    <t>WOS:000251459900022</t>
  </si>
  <si>
    <t>Butler, AH; Thompson, DWJ; Gurney, KR</t>
  </si>
  <si>
    <t>Butler, Amy H.; Thompson, David W. J.; Gurney, Kevin R.</t>
  </si>
  <si>
    <t>Observed relationships between the Southern Annular Mode and atmospheric carbon dioxide</t>
  </si>
  <si>
    <t>INTERANNUAL VARIABILITY; EQUATORIAL PACIFIC; EL-NINO; CO2; CIRCULATION; SEA; OSCILLATION; REANALYSIS; TRANSPORT</t>
  </si>
  <si>
    <t>[1] The authors examine the observed relationships between large-scale climate variability and concentrations of atmospheric carbon dioxide (CO2) in the Southern Hemisphere. The results reveal that month-to-month variations in the rate of change of atmospheric CO2 at Palmer Station on the Antarctic Peninsula are significantly related to fluctuations in the dominant mode of Southern Hemisphere atmospheric variability, the so-called Southern Annular Mode (SAM). A similar but weaker relationship between the SAM and atmospheric CO2 is evident at Syowa Station in eastern Antarctica, but not at the South Pole or stations located in Southern Hemisphere middle latitudes. Hence the SAM is most clearly related to fluctuations in atmospheric CO2 at locations that sample the westerly flow over the high latitudes of the Southern Ocean. Results based on CO2 flux estimates from the Atmospheric Tracer Transport Model Intercomparison Project (TransCom) suggest the observed relationships at least partially reflect the impact of the SAM on the flux of CO2 over the Southern Ocean.</t>
  </si>
  <si>
    <t>Colorado State Univ, Dept Atmospher Sci, Ft Collins, CO 80523 USA; Purdue Univ, Dept Earth &amp; Atmospher Sci, W Lafayette, IN 47907 USA</t>
  </si>
  <si>
    <t>Colorado State University; Purdue University System; Purdue University</t>
  </si>
  <si>
    <t>Butler, AH (corresponding author), Colorado State Univ, Dept Atmospher Sci, 1371 Campus Delivery, Ft Collins, CO 80523 USA.</t>
  </si>
  <si>
    <t>amy@atmos.colostate.edu</t>
  </si>
  <si>
    <t>Butler, Amy H/K-6190-2012; Thompson, David/C-3520-2008; Thompson, David W J/F-9627-2012</t>
  </si>
  <si>
    <t>Butler, Amy H/0000-0002-3632-0925; Thompson, David W J/0000-0002-5413-4376</t>
  </si>
  <si>
    <t>1944-9224</t>
  </si>
  <si>
    <t>NOV 21</t>
  </si>
  <si>
    <t>GB4014</t>
  </si>
  <si>
    <t>10.1029/2006GB002796</t>
  </si>
  <si>
    <t>235TW</t>
  </si>
  <si>
    <t>WOS:000251258200001</t>
  </si>
  <si>
    <t>Anesio, AM; Mindl, B; Laybourn-Parry, J; Hodson, AJ; Sattler, B</t>
  </si>
  <si>
    <t>Anesio, Alexandre M.; Mindl, Birgit; Laybourn-Parry, Johanna; Hodson, Andrew J.; Sattler, Birgit</t>
  </si>
  <si>
    <t>Viral dynamics in cryoconite holes on a high Arctic glacier (Svalbard)</t>
  </si>
  <si>
    <t>JOURNAL OF GEOPHYSICAL RESEARCH-BIOGEOSCIENCES</t>
  </si>
  <si>
    <t>ANTARCTIC LAKES; MARINE VIRUSES; MICROBIAL COMMUNITIES; SPATIAL-DISTRIBUTION; LYSOGENIC BACTERIA; SUBPOLAR GLACIERS; AQUATIC SYSTEMS; LOOP DYNAMICS; FRESH-WATERS; ADRIATIC SEA</t>
  </si>
  <si>
    <t>Viruses are an abundant and dynamic constituent of microbial communities in aquatic ecosystems. In this study we characterized the abundance of viruses associated first with the bottom sediment and overlying water of cryoconite holes and second with shallow ice cores of two different glaciers in Svalbard. Viral abundances were ca. 10 - 100 times lower than the average for marine and freshwater ecosystems in temperate regions. Virus to bacterium ratios ( VBR) ( average &gt; 10, range between 0.7 and 74 in the water and ice samples) and a strong positive correlation between viral and bacterial abundance ( r = 0.93, p &lt; 0.01, N = 57) indicate that viruses most probably play an important role in controlling bacterial mortality and hence biogeochemical cycling on glaciers. Samples taken along a transect from the glacier ablation area to proglacial ponds in its forefield showed that viral abundance increased in response to a higher host availability, which in turn probably resulted from an increase in temperature and higher mineral levels in the ponds. In a transplantation experiment, viruses from cryoconite holes were incubated with a bacterial community from a proglacial lake. Results from the transplantation experiment showed that viruses from cryoconite holes were able to infect bacteria from proglacial lakes and thus influence biogeochemical cycles across different glacial ecosystems. Our data therefore suggest that viruses in cryoconite holes may be able to infect a broad range of bacterial species.</t>
  </si>
  <si>
    <t>Univ Bristol, Bristol Glaciol Ctr, Sch Geograph Sci, Bristol BS8 1SS, Avon, England; Univ Sheffield, Dept Geog, Sheffield S10 2TN, S Yorkshire, England; Univ Keele, Inst Environm Phys Sci &amp; Appl Math, Keele ST5 5BG, Staffs, England; Univ Innsbruck, Inst Ecol, A-6020 Innsbruck, Austria</t>
  </si>
  <si>
    <t>University of Bristol; University of Sheffield; Keele University; University of Innsbruck</t>
  </si>
  <si>
    <t>Anesio, AM (corresponding author), Univ Bristol, Bristol Glaciol Ctr, Sch Geograph Sci, Bristol BS8 1SS, Avon, England.</t>
  </si>
  <si>
    <t>a.m.anesio@bristol.ac.uk</t>
  </si>
  <si>
    <t>Sattler, Birgit/C-4070-2018; Anesio, Alexandre/A-7597-2008</t>
  </si>
  <si>
    <t>Anesio, Alexandre/0000-0003-2990-4014; Hodson, Andrew/0000-0002-1255-7987</t>
  </si>
  <si>
    <t>NERC [NE/D007321/1] Funding Source: UKRI; Natural Environment Research Council [NE/D007321/1] Funding Source: researchfish</t>
  </si>
  <si>
    <t>2169-8953</t>
  </si>
  <si>
    <t>2169-8961</t>
  </si>
  <si>
    <t>J GEOPHYS RES-BIOGEO</t>
  </si>
  <si>
    <t>J. Geophys. Res.-Biogeosci.</t>
  </si>
  <si>
    <t>NOV 20</t>
  </si>
  <si>
    <t>G4</t>
  </si>
  <si>
    <t>G04S31</t>
  </si>
  <si>
    <t>10.1029/2006JG000350</t>
  </si>
  <si>
    <t>235UX</t>
  </si>
  <si>
    <t>WOS:000251260900001</t>
  </si>
  <si>
    <t>Canadell, JG; Le Quéré, C; Raupach, MR; Field, CB; Buitenhuis, ET; Ciais, P; Conway, TJ; Gillett, NP; Houghton, RA; Marland, G</t>
  </si>
  <si>
    <t>Canadell, Josep G.; Le Quéré, Corinne; Raupach, Michael R.; Field, Christopher B.; Buitenhuis, Erik T.; Ciais, Philippe; Conway, Thomas J.; Gillett, Nathan P.; Houghton, R. A.; Marland, Gregg</t>
  </si>
  <si>
    <t>Contributions to accelerating atmospheric CO2 growth from economic activity, carbon intensity, and efficiency of natural sinks</t>
  </si>
  <si>
    <t>PROCEEDINGS OF THE NATIONAL ACADEMY OF SCIENCES OF THE UNITED STATES OF AMERICA</t>
  </si>
  <si>
    <t>airborne fraction; anthropogenic carbon emissions; carbon-climate feedback; terrestrial and ocean carbon emissions; vulnerabilities of the carbon cycle</t>
  </si>
  <si>
    <t>LAND-USE; CLIMATE; CYCLE; EMISSIONS; ICE</t>
  </si>
  <si>
    <t>Global Carbon Project, Commonwealth Sci &amp; Ind Res Org Marine, Atmospheric Res, Canberra, ACT 2601, Australia; Univ E Anglia, Sch Environm Sci, Norwich NR4 7TJ, Norfolk, England; British Antarctic Survey, Cambridge CB3 0ET, England; Carnegie Inst Sci, Dept Global Ecol, Stanford, CA 94305 USA; Comis Energie Atom, Lab Sci Climate Environm, F-91191 Gif Sur Yvette, France; Natl Oceanic &amp; Atmosphric Administ Earth Syst Res, Boulder, CO 80305 USA; Woods Hole Res Ctr, Falmouth, MA 02540 USA; Oak Ridge Natl Lab, Carbon Dioxide Informat Anal Ctr, Oak Ridge, TN 37831 USA; Int Inst Appl Syst Anal, A-2361 Laxenburg, Austria</t>
  </si>
  <si>
    <t>Commonwealth Scientific &amp; Industrial Research Organisation (CSIRO); University of East Anglia; UK Research &amp; Innovation (UKRI); Natural Environment Research Council (NERC); NERC British Antarctic Survey; Carnegie Institution for Science; CEA; Centre National de la Recherche Scientifique (CNRS); Universite Paris Saclay; National Oceanic Atmospheric Admin (NOAA) - USA; Woodwell Climate Research Center; United States Department of Energy (DOE); Oak Ridge National Laboratory; International Institute for Applied Systems Analysis (IIASA)</t>
  </si>
  <si>
    <t>Canadell, JG (corresponding author), Global Carbon Project, Commonwealth Sci &amp; Ind Res Org Marine, Atmospheric Res, GPO Box 3023, Canberra, ACT 2601, Australia.</t>
  </si>
  <si>
    <t>pep.canadell@csiro.au</t>
  </si>
  <si>
    <t>Le Quéré, Corinne/C-2631-2017; Ciais, Philippe/A-6840-2011; Canadell, Pep/E-9419-2010; Buitenhuis, Erik/A-7692-2012</t>
  </si>
  <si>
    <t>Le Quéré, Corinne/0000-0003-2319-0452; Ciais, Philippe/0000-0001-8560-4943; Canadell, Pep/0000-0002-8788-3218; Buitenhuis, Erik/0000-0001-6274-5583</t>
  </si>
  <si>
    <t>Natural Environment Research Council [NE/C516079/1, bas010013] Funding Source: researchfish; NERC [bas010013] Funding Source: UKRI</t>
  </si>
  <si>
    <t>NATL ACAD SCIENCES</t>
  </si>
  <si>
    <t>2101 CONSTITUTION AVE NW, WASHINGTON, DC 20418 USA</t>
  </si>
  <si>
    <t>0027-8424</t>
  </si>
  <si>
    <t>P NATL ACAD SCI USA</t>
  </si>
  <si>
    <t>Proc. Natl. Acad. Sci. U. S. A.</t>
  </si>
  <si>
    <t>10.1073/pnas.0702737104</t>
  </si>
  <si>
    <t>236HB</t>
  </si>
  <si>
    <t>WOS:000251292500092</t>
  </si>
  <si>
    <t>Chevalier, MW; Peter, WB; Inan, US; Bell, TF; Spasojevic, M</t>
  </si>
  <si>
    <t>Chevalier, M. W.; Peter, W. B.; Inan, U. S.; Bell, T. F.; Spasojevic, Maria</t>
  </si>
  <si>
    <t>Remote sensing of ionospheric disturbances associated with energetic particle precipitation using the South Pole VLF beacon</t>
  </si>
  <si>
    <t>SOLAR PROTON EVENTS; RELATIVISTIC ELECTRONS; MIDDLE ATMOSPHERE; ODD NITROGEN; MAGNETOSPHERE; DIFFUSION; PLASMA; WAVES; ACCELERATION; ORIGIN</t>
  </si>
  <si>
    <t>The Stanford University VLF beacon transmitter located at South Pole operates at 19.4 kHz, transmitting for 1 min intervals every 15 min throughout the day. The beacon serves as a tool to measure changes in the D region ionospheric conductivity owing to energetic particle precipitation and is capable of providing coverage that spans the Antarctic continent. We present VLF beacon signal amplitude and phase data measured at Palmer Station, Antarctica. Diurnal and seasonal variations are discussed first, followed by analysis of data from two periods of high geomagnetic activity, in July 2004 and in May 2005, with a phase advance and an amplitude depression of the beacon signal ( as recorded at Palmer) observed for both cases. Data from the MEPED instrument aboard the NOAA-16 and 17 POES satellites show an increase in energetic electron (&gt; 100 keV) and proton (&gt; 16 MeV) precipitation fluxes coincident with the VLF beacon signal perturbations. The fluxes measured on POES are used as an aide to generate profiles of secondary ionization along the great circle path from South Pole to Palmer. These profiles are then applied to a quantitative model of subionospheric VLF signal propagation to estimate the phase and amplitude variations expected. Results indicate that the observed VLF amplitude and phase data are in reasonable agreement with theoretical calculations in both cases, indicating that the model captures the ionospheric disturbance in effect during both of the disturbed periods.</t>
  </si>
  <si>
    <t>[Chevalier, M. W.; Peter, W. B.; Inan, U. S.; Bell, T. F.; Spasojevic, Maria] Stanford Univ, Dept Elect Engn, Stanford, CA 94305 USA</t>
  </si>
  <si>
    <t>Stanford University</t>
  </si>
  <si>
    <t>Chevalier, MW (corresponding author), Stanford Univ, Dept Elect Engn, Stanford, CA 94305 USA.</t>
  </si>
  <si>
    <t>chamonix@stanford.edu</t>
  </si>
  <si>
    <t>Inan, Umran/V-3634-2019</t>
  </si>
  <si>
    <t>Inan, Umran/0000-0001-5837-5807; Spasojevic, Maria/0000-0001-8869-5086</t>
  </si>
  <si>
    <t>NOV 16</t>
  </si>
  <si>
    <t>A11</t>
  </si>
  <si>
    <t>A11306</t>
  </si>
  <si>
    <t>10.1029/2007JA012425</t>
  </si>
  <si>
    <t>233AO</t>
  </si>
  <si>
    <t>WOS:000251063000007</t>
  </si>
  <si>
    <t>Clilverd, MA; Meredith, NP; Horne, RB; Glauert, SA; Anderson, RR; Thomson, NR; Menk, FW; Sandel, BR</t>
  </si>
  <si>
    <t>Clilverd, M. A.; Meredith, N. P.; Horne, R. B.; Glauert, S. A.; Anderson, R. R.; Thomson, N. R.; Menk, F. W.; Sandel, B. R.</t>
  </si>
  <si>
    <t>Longitudinal and seasonal variations in plasmaspheric electron density: Implications for electron precipitation</t>
  </si>
  <si>
    <t>EXTREME-ULTRAVIOLET IMAGER; RADIATION BELT ELECTRONS; FIELD LINE RESONANCES; GEOMAGNETIC-FIELD; PITCH-ANGLE; MODEL; DIFFUSION; LATITUDE; MAGNETOSPHERE; PULSATIONS</t>
  </si>
  <si>
    <t>The tilt and offset of the Earth's magnetic field can significantly affect the longitudinal and seasonal distribution of electron density in the plasmasphere. Here we show that for the solar maximum conditions of 1990 - 1991, the largest annual variation determined from CRRES measurements of plasmaspheric equatorial electron density in the range L=2.5 - 5.0 occurs at American longitudes ( - 60 degrees E), while no annual variation occurs at Asian longitudes (+100 degrees E). Plasmaspheric electron density is larger in December than in June at most longitudes, from - 180 degrees E eastward to +20 degrees E. At all other longitudes the density ratio from December to June is very close to 1.0. The largest December/June density ratio is at L=3.0 at American longitudes ( - 60 degrees E). At L=4.5 and above, the annual variation disappears. The lowest electron density values for a given L-shell occur at American longitudes, in June. Ion densities also show significant annual variations, with similar longitudinal and seasonal characteristics in the case of IMAGE EUV He+ measurements. Atomic mass density measurements calculated using the magnetometer cross-phase technique show significant seasonal variations but also imply composition changes with longitude. Using the quasilinear PADIE code we calculate the bounce-averaged diffusion rate of electrons by plasmaspheric hiss with a fixed wave intensity. December to June variations in plasmaspheric density, particularly at American longitudes, drive changes in the wave-particle interactions, increasing diffusion into the loss cone by a factor of similar to 3 at 1 MeV at L=3.0, thus hardening the electron precipitation spectrum during the southern hemisphere winter (in June).</t>
  </si>
  <si>
    <t>[Clilverd, M. A.; Meredith, N. P.; Horne, R. B.; Glauert, S. A.] British Antarctic Survey, NERC, Cambridge CB3 0ET, England; [Anderson, R. R.] Univ Iowa, Dept Phys &amp; Astron, Iowa City, IA 52242 USA; [Thomson, N. R.] Univ Otago, Dept Phys, Dunedin, New Zealand; [Menk, F. W.] Univ Newcastle, Dept Phys, Newcastle, NSW 2308, Australia; [Sandel, B. R.] Univ Arizona, Lunar &amp; Planetary Lab, Tucson, AZ 85721 USA</t>
  </si>
  <si>
    <t>UK Research &amp; Innovation (UKRI); Natural Environment Research Council (NERC); NERC British Antarctic Survey; University of Iowa; University of Otago; University of Newcastle; University of Arizona</t>
  </si>
  <si>
    <t>Clilverd, MA (corresponding author), British Antarctic Survey, NERC, Madingley Rd, Cambridge CB3 0ET, England.</t>
  </si>
  <si>
    <t>macl@bas.ac.uk; nmer@bas.ac.uk; rh@bas.ac.uk; sagl@bas.ac.uk; roger-anderson@uiowa.edu; n_thomson@phys.otago.ac.nz; fred.menk@newcastle.edu.au; sandel@arizona.edu</t>
  </si>
  <si>
    <t>Horne, Richard B/U-3764-2019; Meredith, Nigel P/C-5806-2018; Menk, Frederick/A-2640-2009</t>
  </si>
  <si>
    <t>Horne, Richard B/0000-0002-0412-6407; Menk, Frederick/0000-0002-1154-6223; Meredith, Nigel/0000-0001-5032-3463</t>
  </si>
  <si>
    <t>A11210</t>
  </si>
  <si>
    <t>10.1029/2007JA012416</t>
  </si>
  <si>
    <t>Green Accepted, Bronze, Green Published</t>
  </si>
  <si>
    <t>WOS:000251063000006</t>
  </si>
  <si>
    <t>Rodger, CJ; Clilverd, MA; Thomson, NR; Gamble, RJ; Seppala, A; Turunen, E; Meredith, NP; Parrot, M; Sauvaud, JA; Berthelier, JJ</t>
  </si>
  <si>
    <t>Rodger, Craig J.; Clilverd, Mark A.; Thomson, Neil R.; Gamble, Rory J.; Seppala, Annika; Turunen, Esa; Meredith, Nigel P.; Parrot, Michel; Sauvaud, Jean-Andre; Berthelier, Jean-Jacques</t>
  </si>
  <si>
    <t>Radiation belt electron precipitation into the atmosphere: Recovery from a geomagnetic storm</t>
  </si>
  <si>
    <t>SOLAR PROTON EVENT; INNER MAGNETOSPHERE; MODEL; ACCELERATION; PERTURBATIONS; SPECTROMETER; ASSOCIATION; IRRADIANCE; ENERGIES; DENSITY</t>
  </si>
  <si>
    <t>Large geomagnetic storms are associated with electron population changes in the outer radiation belt and the slot region, often leading to significant increases in the relativistic electron population. The increased population decays in part through the loss, that is, precipitation from the bounce loss cone, of highly energized electrons into the middle and upper atmosphere (30 - 90 km). However, direct satellite observations of energetic electrons in the bounce loss cone are very rare due to its small angular width. In this study we have analyzed ground-based subionospheric radio wave observations of electrons from the bounce loss cone at L=3.2 during and after a geomagnetic disturbance which occurred in September 2005. Relativistic electron precipitation into the atmosphere leads to large changes in observed subionospheric amplitudes. Satellite-observed energy spectra from the CRRES and DEMETER spacecraft were used as an input to an ionospheric chemistry and subionospheric propagation model, describing the ionospheric ionization modifications caused by precipitating electrons. We find that the peak precipitated fluxes of &gt; 150 keVelectrons into the atmosphere were 3500 +/- 300 el cm(-2) s(-1) at midday and 185 +/- 15 el cm(-2) s(-1) at midnight. For 6 d following the storm onset the midday precipitated fluxes are approximately 20 times larger than observed at midnight, consistent with observed day/night patterns of plasmaspheric hiss intensities. The variation in DEMETER observed wave power at L=3.2 in the plasmaspheric hiss frequency band shows similar time variation to that seen in the precipitating particles. Consequently, plasmaspheric hiss with frequencies below similar to 500 Hz appears to be the principal loss mechanism for energetic electrons in the inner zone of the outer radiation belts during the nonstorm time periods of this study, although off-equatorial chorus waves could contribute when the plasmapause is L &lt; 3.0.</t>
  </si>
  <si>
    <t>[Rodger, Craig J.; Thomson, Neil R.; Gamble, Rory J.] Univ Otago, Dept Phys, Dunedin, New Zealand; [Clilverd, Mark A.; Meredith, Nigel P.] British Antarctic Survey, Div Phys Sci, Cambridge CB3 0ET, England; [Seppala, Annika] Finnish Meteorol Inst, FIN-00101 Helsinki, Finland; [Turunen, Esa] Sodankyla Geophys Observ, FIN-99600 Sodankyla, Finland; [Parrot, Michel] Lab Phys &amp; Chim Environm, F-45071 Orleans 2, France; [Sauvaud, Jean-Andre] Ctr Etud Spatiale Rayonnements, F-31028 Toulouse 4, France; [Berthelier, Jean-Jacques] Ctr Etudes Environm Terrestre &amp; Planetaires, St Maur des Fosses, France</t>
  </si>
  <si>
    <t>University of Otago; UK Research &amp; Innovation (UKRI); Natural Environment Research Council (NERC); NERC British Antarctic Survey; Finnish Meteorological Institute; Universite de Toulouse; Universite Toulouse III - Paul Sabatier</t>
  </si>
  <si>
    <t>Rodger, CJ (corresponding author), Univ Otago, Dept Phys, POB 56, Dunedin, New Zealand.</t>
  </si>
  <si>
    <t>crodger@physics.otago.ac.nz; m.clilverd@bas.ac.uk; nmer@bas.ac.uk; rgamble@physics.otago.ac.nz; annika.seppala@fmi.fi; esa@sgo.fi; mparrot@cnrs-orleans.fr; sauvaud@cesr.fr; Jean-Jacques.berthelier@cetp.ipsl.fr</t>
  </si>
  <si>
    <t>Meredith, Nigel P/C-5806-2018; Rodger, Craig/A-1501-2011; Seppälä, Annika/C-8031-2014</t>
  </si>
  <si>
    <t>Seppälä, Annika/0000-0002-5028-8220; Turunen, Esa/0000-0001-8232-8744; Horne, Richard/0000-0002-0412-6407; Meredith, Nigel/0000-0001-5032-3463; Rodger, Craig J./0000-0002-6770-2707</t>
  </si>
  <si>
    <t>A11307</t>
  </si>
  <si>
    <t>10.1029/2007JA012383</t>
  </si>
  <si>
    <t>Green Accepted, Green Published, Bronze</t>
  </si>
  <si>
    <t>WOS:000251063000004</t>
  </si>
  <si>
    <t>Bockheim, JG; Ackert, RP</t>
  </si>
  <si>
    <t>Bockheim, James G.; Ackert, Robert P., Jr.</t>
  </si>
  <si>
    <t>Implications of soils on mid-Miocene-aged drifts in the McMurdo Dry Valleys for ice sheet history and paleoclimate reconstruction</t>
  </si>
  <si>
    <t>GEOMORPHOLOGY</t>
  </si>
  <si>
    <t>pedology; weathering; antarctic soils; salts; paleosols; McMurdo Dry Valleys</t>
  </si>
  <si>
    <t>SOUTHERN VICTORIA-LAND; WRIGHT VALLEY; LATE NEOGENE; ANTARCTICA; REGION; MOUNTAINS; ORIGIN; RATES</t>
  </si>
  <si>
    <t>Strongly developed soils on unconsolidated deposits of mid-Miocene age occur in the uplands above 1500 m elevation in the Asgard Range and Quartermain Mountains in the McMurdo Dry Valleys. Inferred from the preservation and distribution of their surfaces, these deposits have been largely unmodified since a widespread glacial erosional event prior to 10 Ma. Composition of the till plays a key role in soil development on these ancient surfaces. Soils derived from dolerite-rich till have significantly greater depths of staining and ghosts, color-development equivalents of the Bw horizon, and extractable Fe than sandstone-rich tills. However, no significant differences were found in depth of visible salts, salt stage, electrical conductivity of the horizon of salt enrichment, and profile quantities of salts, which implies a similar age for the soils. The soils on the Miocene-aged deposits are less developed than soils of early Quaternary and Pliocene age at lower elevation in the Dry Valleys, inconsistent with the conclusion that these are relict Miocene surfaces. We suggest that the lower stage of soil development on the surfaces of Miocene age deposits primarily reflects higher erosion (deflation) rates than soils on Pliocene age deposits at lower elevation. If so, several meters of material may have been removed on 10-million-year timescales and that many of the erosion features ascribed to ancient glacial erosion could simply be the result of subaerial erosion under cold desert conditions. In this case, the soils would only reflect the climate of the last few million years. Although the soils are classified primarily as Typic Anhyorthels and Typic Anhyturbels, some of the soils on doleritic till have saltpans enriched in NaNO3 or Na2SO4 and are classified in petronitric or petrogypsic subgroups. (c) 2007 Elsevier B.V. All rights reserved.</t>
  </si>
  <si>
    <t>[Bockheim, James G.] Univ Wisconsin, Dept Soil Sci, Madison, WI 53706 USA; [Ackert, Robert P., Jr.] Harvard Univ, Cambridge, MA 02138 USA</t>
  </si>
  <si>
    <t>University of Wisconsin System; University of Wisconsin Madison; Harvard University</t>
  </si>
  <si>
    <t>Bockheim, JG (corresponding author), Univ Wisconsin, Dept Soil Sci, 1525 Observ Dr, Madison, WI 53706 USA.</t>
  </si>
  <si>
    <t>bockheim@wisc.edu</t>
  </si>
  <si>
    <t>0169-555X</t>
  </si>
  <si>
    <t>1872-695X</t>
  </si>
  <si>
    <t>Geomorphology</t>
  </si>
  <si>
    <t>NOV 15</t>
  </si>
  <si>
    <t>10.1016/j.geomorph.2007.02.013</t>
  </si>
  <si>
    <t>244VB</t>
  </si>
  <si>
    <t>WOS:000251892300002</t>
  </si>
  <si>
    <t>van As, D; van Den Broeke, MR</t>
  </si>
  <si>
    <t>van As, Dirk; van Den Broeke, Michel R.</t>
  </si>
  <si>
    <t>Causes of variability in the summertime Antarctic boundary-layer climate</t>
  </si>
  <si>
    <t>INTERNATIONAL JOURNAL OF CLIMATOLOGY</t>
  </si>
  <si>
    <t>albedo; Antarctica; katabatic forcing; large-scale wind; low-level jet; slope; surface energy flux; temperature-deficit layer</t>
  </si>
  <si>
    <t>SURFACE WIND-FIELD; ADELIE-LAND; DIURNAL-VARIATION; KATABATIC WINDS; MOMENTUM BUDGET; ENERGY-BALANCE; MIZUHO-STATION; MAUD-LAND; MODEL; HEAT</t>
  </si>
  <si>
    <t>A high-resolution one-dimensional atmospheric model is used to assess the contribution of various surface characteristics and external forcings on the structure and dynamics of the atmospheric boundary layer (ABL) over the Antarctic Plateau in summer. The reference run simulates the boundary layer over a mildly sloping surface (1.5 m km(-1)) for a clear sky near the end of the Antarctic summer (31 January-3 February). The ABL depth is approximately 100 m. At night, a low-level jet forms due to the combined effect of katabatic forcing and an inertial oscillation. During the day a convective mixed layer is present. As expected, the ABL is very sensitive to surface slope; a larger slope forces higher wind speeds and a deeper boundary layer. Over a horizontal surface, a nocturnal jet is also found as a result of the inertial oscillation. A modest change in surface albedo alters the mixed-layer temperature and the height and strength of the nocturnal jet considerably. Rotating the large-scale wind relative to the slope direction also has a large impact on ABL depth and structure. The deepest boundary layer and largest wind speed over a northward down-sloping surface are found for an easterly (cross slope) large-scale wind, as is typical for Antarctica. A very shallow ABL with low wind speed is found for the opposite large-scale wind direction. ABL sensitivity to surface roughness was found to be small. For all experiments, the ABL sensitivity is enhanced due to the positive feedback between the cooling of the ABL and katabatic wind speed. Copyright (C) 2007 Royal Meteorological Society.</t>
  </si>
  <si>
    <t>Univ Utrecht, Inst Marine &amp; Atmospher Res, NL-3508 TA Utrecht, Netherlands</t>
  </si>
  <si>
    <t>van As, D (corresponding author), Univ Utrecht, Inst Marine &amp; Atmospher Res, POB 80000, NL-3508 TA Utrecht, Netherlands.</t>
  </si>
  <si>
    <t>D.vanAs@phys.uu.nl</t>
  </si>
  <si>
    <t>0899-8418</t>
  </si>
  <si>
    <t>1097-0088</t>
  </si>
  <si>
    <t>INT J CLIMATOL</t>
  </si>
  <si>
    <t>Int. J. Climatol.</t>
  </si>
  <si>
    <t>10.1002/joc.1488</t>
  </si>
  <si>
    <t>236HC</t>
  </si>
  <si>
    <t>WOS:000251292600003</t>
  </si>
  <si>
    <t>Gudmundsson, G. Hilmar</t>
  </si>
  <si>
    <t>Tides and the flow of Rutford ice stream, west Antarctica</t>
  </si>
  <si>
    <t>JOURNAL OF GEOPHYSICAL RESEARCH-EARTH SURFACE</t>
  </si>
  <si>
    <t>BASAL SHEAR-STRESS; TIDAL FLEXURE; GLACIER; BENEATH; SHELF; TILL; SEISMICITY; GREENLAND; MARGINS; MOTION</t>
  </si>
  <si>
    <t>[1] Surface speeds of Rutford Ice Stream, West Antarctica, are known to vary by around 10-20% (depending on location) with a fortnightly periodicity corresponding to a spring-neap tidal cycle. The reasons for these periodic variations in flow are unclear. Here the possible role of tidal stress transmission upstream of the grounding line in affecting rates of basal motion is investigated. It is found that nonlinear rheological effects within the till, when coupled with transmission of tidal stresses within the ice that are linearly related to tidal amplitude, can give rise to the type of periodic oscillations in flow observed. This nonlinear interaction between tidal forcing and till deformation increases the mean ice flux across the grounding line by a few percent above what might be expected in the absence of tidal forcing. Periodic velocity fluctuations of this type have not been observed on other ice streams. However, modeling suggests that this may be due to lack of data and that such flow variations are likely to be common features of active ice streams draining into the Ronne Ice Shelf, as well as of other ice streams subjected to similar tidal forcing.</t>
  </si>
  <si>
    <t>Gudmundsson, GH (corresponding author), British Antarctic Survey, Cambridge CB3 0ET, England.</t>
  </si>
  <si>
    <t>Gudmundsson, Gudmundur Hilmar/AAU-5987-2020; Gudmundsson, Gudmundur Hilmar/F-6499-2012; Facility, NERC Geophysical Equipment/G-5260-2010</t>
  </si>
  <si>
    <t>Gudmundsson, Gudmundur Hilmar/0000-0003-4236-5369; Gudmundsson, Gudmundur Hilmar/0000-0003-4236-5369;</t>
  </si>
  <si>
    <t>2169-9003</t>
  </si>
  <si>
    <t>2169-9011</t>
  </si>
  <si>
    <t>J GEOPHYS RES-EARTH</t>
  </si>
  <si>
    <t>J. Geophys. Res.-Earth Surf.</t>
  </si>
  <si>
    <t>F4</t>
  </si>
  <si>
    <t>F04007</t>
  </si>
  <si>
    <t>10.1029/2006JF000731</t>
  </si>
  <si>
    <t>232ZV</t>
  </si>
  <si>
    <t>WOS:000251061100001</t>
  </si>
  <si>
    <t>Thomas, AL; Henderson, GM; McCave, IN</t>
  </si>
  <si>
    <t>Thomas, Alexander L.; Henderson, Gideon M.; McCave, I. Nicholas</t>
  </si>
  <si>
    <t>Constant bottom water flow into the Indian Ocean for the past 140 ka indicated by sediment 231Pa/230Th ratios</t>
  </si>
  <si>
    <t>ATLANTIC DEEP-WATER; NORTH-ATLANTIC; THERMOHALINE CIRCULATION; BENTHIC FORAMINIFERA; PARTICLE FLUXES; SOUTHERN-OCEAN; SORTABLE SILT; POLAR FRONT; LAST; VARIABILITY</t>
  </si>
  <si>
    <t>A down-core (231)pa/(230) Th record has been measured from the southwestern Indian Ocean to reconstruct the history of deep water flow into this basin over the last glacial-interglacial cycle. The (Pa-231(xs)/Th-230(xs))(0) ratio throughout the record is nearly constant at approximately 0.055, significantly lower than the production ratio of 0.093, indicating that the proxy is sensitive to changes in circulation and/or sediment flux at this site. The consistent value suggests that there has been no change in the inflow of Antarctic Bottom Water to the Indian Ocean during the last 140 ka, in contrast to the changes in deep circulation thought to occur in other ocean basins. The stability of the (Pa-231(xs)/Th-230(xs))(0) value in the record contrasts with an existing sortable silt ((SS) over bar) record from the same core. The observed SS variability is attributed to a local geostrophic effect amplifying small changes in circulation. A record of authigenic U from the same core suggests that there was reduced oxygen in bottom waters at the core locality during glacial periods. The consistency of the (Pa-231(xs)/Th-230(xs))(0) record implies that this could not have arisen by local changes in productivity, thus suggesting a far-field control: either globally reduced bottom water oxygenation or increased productivity south of the Opal Belt during glacials.</t>
  </si>
  <si>
    <t>[Thomas, Alexander L.; Henderson, Gideon M.] Univ Oxford, Dept Earth Sci, Oxford OX1 3PR, England; [McCave, I. Nicholas] Univ Cambridge, Dept Earth Sci, Cambridge CB2 3EQ, England</t>
  </si>
  <si>
    <t>University of Oxford; University of Cambridge</t>
  </si>
  <si>
    <t>Thomas, AL (corresponding author), Univ Oxford, Dept Earth Sci, Parks Rd, Oxford OX1 3PR, England.</t>
  </si>
  <si>
    <t>alext@earth.ox.ac.uk</t>
  </si>
  <si>
    <t>McCave, I. Nick/O-3992-2018; Thomas, Alex L/D-1028-2012; McCave, Nick N/G-7323-2016</t>
  </si>
  <si>
    <t>McCave, I. Nick/0000-0002-4702-5489; McCave, Nick N/0000-0002-4702-5489; Henderson, Gideon/0000-0002-6279-7137; Thomas, Alexander/0000-0002-0734-9593</t>
  </si>
  <si>
    <t>Natural Environment Research Council [NE/D012546/1] Funding Source: researchfish; NERC [NE/D012546/1] Funding Source: UKRI</t>
  </si>
  <si>
    <t>PA4210</t>
  </si>
  <si>
    <t>10.1029/2007PA001415</t>
  </si>
  <si>
    <t>233AQ</t>
  </si>
  <si>
    <t>Green Published, hybrid</t>
  </si>
  <si>
    <t>WOS:000251063200001</t>
  </si>
  <si>
    <t>Gregg, WW; Casey, NW</t>
  </si>
  <si>
    <t>Gregg, Watson W.; Casey, Nancy W.</t>
  </si>
  <si>
    <t>Sampling biases in MODIS and SeaWiFS ocean chlorophyll data</t>
  </si>
  <si>
    <t>ocean color; sampling; data assimilation; ocean chlorophyll</t>
  </si>
  <si>
    <t>IN-SITU; COLOR; PHYTOPLANKTON; CLIMATOLOGIES; CLIMATE; TRENDS; ERA</t>
  </si>
  <si>
    <t>Although modern ocean color sensors, such as MODIS and SeaWiFS, are often considered global missions, in reality it takes many days, even months, to sample the ocean surface enough to provide complete global coverage. The irregular temporal sampling of ocean color sensors can produce biases in monthly and annual mean chlorophyll estimates. We quantified the biases due to sampling using data assimilation to create a truth field, which we then sub-sampled using the observational patterns of MODIS and SeaWiFS. Monthly and annual mean chlorophyll estimates from these sub-sampled, incomplete daily fields were constructed and compared to monthly and annual means from the complete daily fields of the assimilation model, at a spatial resolution of 1.25 degrees longitude by 0.67 degrees latitude. The results showed that global annual mean biases were positive, reaching nearly 8% (MODIS) and &gt; 5% (SeaWiFS). For perspective the maximum interannual variability in the SeaWiFS chlorophyll record was about 3%. Annual mean sampling biases were low (&lt; 3%) in the mid-latitudes (between -40 degrees and 40). Low interannual variability in the global annual mean sampling biases suggested that global scale trend analyses were valid. High latitude biases were much higher than the global annual means, up to 20% as a basin annual mean, and over 80% in some months. This was the result of the high solar zenith angle exclusion in the processing algorithms. Only data where the solar angle is &lt; 75 degrees are permitted, in contrast to the assimilation which samples regularly over the entire area and month. High solar zenith angles do not facilitate phytoplankton photosynthesis and low chlorophyll concentrations occurring here are missed by the data sets. Ocean color sensors selectively sample in locations and times of favorable phytoplankton growth, producing overestimates of chlorophyll. The biases derived from lack of sampling in the high latitudes varied monthly, leading to artifacts in the apparent seasonal cycle from ocean color sensors. A false secondary peak in chlorophyll occurred in May-August, which resulted from lack of sampling in the Antarctic. Persistent clouds, characteristic in the North Pacific, also produced overestimates, again by selectively sampling only the high growth periods. In contrast, areas characterized by thick aerosols showed chlorophyll underestimates to nearly -30% in basin monthly means. This was the result of selective sampling in lower aerosol thickness periods, which corresponded with lower phytoplankton growth periods. A combination of MODIS and SeaWiFS sampling was most effective at reducing mid-latitude biases due to inter-orbit gaps, sun glint, and sensor tilt changes. But these biases were low using a single sensor, suggesting multiple sensors had little effect in reducing global and regional monthly and annual mean biases. Ocean color data are an invaluable source of information about global biological processes. However, these results suggest that sampling errors need to be considered in applications involving global and regional mean chlorophyll biomasses as well as seasonal variability and regional trend analysis. (c) 2007 Elsevier Inc. All rights reserved.</t>
  </si>
  <si>
    <t>NASA, Goddard Space Flight Ctr, Global Modeling &amp; Assimilat Off, Greenbelt, MD 20771 USA; Sci Syst &amp; Applicat Inc, Lanham, MD 20706 USA</t>
  </si>
  <si>
    <t>National Aeronautics &amp; Space Administration (NASA); NASA Goddard Space Flight Center; Science Systems and Applications Inc</t>
  </si>
  <si>
    <t>Gregg, WW (corresponding author), NASA, Goddard Space Flight Ctr, Global Modeling &amp; Assimilat Off, Greenbelt, MD 20771 USA.</t>
  </si>
  <si>
    <t>nancy.casey@gsfc.nasa.gov</t>
  </si>
  <si>
    <t>Casey, Nancy/0009-0001-7709-889X</t>
  </si>
  <si>
    <t>10.1016/j.rse.2007.03.008</t>
  </si>
  <si>
    <t>221QX</t>
  </si>
  <si>
    <t>WOS:000250243500003</t>
  </si>
  <si>
    <t>Zheng, H; Zhang, X; Li, R; Liang, J; Cui, Z</t>
  </si>
  <si>
    <t>Zheng, Haiyan; Zhang, Xiaowei; Li, Renzhong; Liang, Jun; Cui, Zhifeng</t>
  </si>
  <si>
    <t>The geometry of the chlorine dioxide anion ClO2-:: Ab initio calculation and Franck-Condon analysis</t>
  </si>
  <si>
    <t>CHEMICAL PHYSICS LETTERS</t>
  </si>
  <si>
    <t>MULTIREFERENCE CONFIGURATION-INTERACTION; ANTARCTIC SPRING STRATOSPHERE; LYING ELECTRONIC STATES; PHOTOELECTRON-SPECTROSCOPY; LOW ALTITUDES; OCLO; OZONE; PHOTODISSOCIATION; DYNAMICS; SPECTRUM</t>
  </si>
  <si>
    <t>Geometry optimization and harmonic vibrational frequency calculations were performed on the (X) over tilde B-2(1) state of ClO2 and (X) over tilde (1)A(1) state of ClO2-. The electron affinity energies of ClO2 were calculated up to CCSD(T) level. Franck-Condon analyses and spectral simulations were carried out on the ClO2 ((X) over tilde B-2(1))-ClO2-((X) over tilde (1)A(1)) photodetachment process. In addition, the equilibrium geometry parameters, r(ClO) = 1.567 +/- 0.002 angstrom and angle(OClO) = 116.5 +/- 0.5 degrees, of the (X) over tilde (1)A(1) state of ClO2-, were derived in the spectral simulation. Our conclusions regarding the anion geometry suggest a reinterpretation of the results of Gilles et al. [M.K. Gilles, M.L. Polak, W.C. Lineberger, J. Chem. Phys. 96 (1992) 8012]. (C) 2007 Elsevier B.V. All rights reserved.</t>
  </si>
  <si>
    <t>Anhui Normal Univ, Coll Phys &amp; Electron Informat, Wuhu 241000, Peoples R China</t>
  </si>
  <si>
    <t>Anhui Normal University</t>
  </si>
  <si>
    <t>Liang, J (corresponding author), Anhui Normal Univ, Coll Phys &amp; Electron Informat, Wuhu 241000, Peoples R China.</t>
  </si>
  <si>
    <t>jliang@mail.ahnu.edu.cn</t>
  </si>
  <si>
    <t>0009-2614</t>
  </si>
  <si>
    <t>CHEM PHYS LETT</t>
  </si>
  <si>
    <t>Chem. Phys. Lett.</t>
  </si>
  <si>
    <t>NOV 14</t>
  </si>
  <si>
    <t>4-6</t>
  </si>
  <si>
    <t>10.1016/j.cplett.2007.10.018</t>
  </si>
  <si>
    <t>Chemistry, Physical; Physics, Atomic, Molecular &amp; Chemical</t>
  </si>
  <si>
    <t>Chemistry; Physics</t>
  </si>
  <si>
    <t>237WY</t>
  </si>
  <si>
    <t>WOS:000251408300006</t>
  </si>
  <si>
    <t>Smalley, R; Dalziel, IWD; Bevis, MG; Kendrick, E; Stamps, DS; King, EC; Taylor, FW; Lauria, E; Zakrajsek, A; Parra, H</t>
  </si>
  <si>
    <t>Smalley, R., Jr.; Dalziel, I. W. D.; Bevis, M. G.; Kendrick, E.; Stamps, D. S.; King, E. C.; Taylor, F. W.; Lauria, E.; Zakrajsek, A.; Parra, H.</t>
  </si>
  <si>
    <t>Scotia arc kinematics from GPS geodesy</t>
  </si>
  <si>
    <t>CURRENT PLATE MOTIONS; SUBDUCTION ZONE; TENSILE FAULTS; HALF-SPACE; DEFORMATION; SEA; TECTONICS; BOUNDARY; MODEL; CONVERGENCE</t>
  </si>
  <si>
    <t>GPS crustal velocity data from the Scotia and South Sandwich plates, transform azimuths, spreading data, and an updated earthquake slip vector catalog provide the first Scotia and South Sandwich plate Euler vector estimates not dependent on closure as the GPS data tie them to the global plate circuit. Neither the GPS data, which sample limited portions of the plates, nor the geologic data, which are not tied to the global spreading circuit, are sufficient individually to define the Euler vectors. As Scotia plate GPS measurements do not sample the stable plate interior, plate boundary deformation field modeling is necessary for Euler vector estimation. Our South America- Antarctic and Scotia- South Sandwich Euler pole estimates agree with previous estimates from either GPS or geologic data. Our South America- Scotia Euler vector, however, is significantly different and near the South America- Antarctic Euler vector producing an approximately coaxial motion of Scotia between South America and Antarctica.</t>
  </si>
  <si>
    <t>Ohio State Univ, Sch Earth Sci, Columbus, OH 43210 USA; Univ Texas Austin, John A &amp; Katherine G Jackson Sch Geosci, Inst Geophys, Austin, TX USA; British Antarctic Survey, Cambridge CB3 0ET, England; Inst Geograf Mil Argentina, RA-1426 Buenos Aires, DF, Argentina; Inst Geog Mil Chile, Santiago 1640, Chile; Memphis State Univ, Ctr Earthquake Res &amp; Informat, Memphis, TN 38152 USA; Inst Antartico Argemntino, Buenos Aires, DF, Argentina</t>
  </si>
  <si>
    <t>University System of Ohio; Ohio State University; University of Texas System; University of Texas Austin; UK Research &amp; Innovation (UKRI); Natural Environment Research Council (NERC); NERC British Antarctic Survey; University of Memphis; Instituto Antartico Argentino</t>
  </si>
  <si>
    <t>Smalley, R (corresponding author), Ohio State Univ, Sch Earth Sci, 275 Mendelhall Lab,125 S Oval Mall, Columbus, OH 43210 USA.</t>
  </si>
  <si>
    <t>rsmalley@memphis.edu; ian@utig.ig.utexas.edu; mbevis@osu.edu; kendrick.42@osu.edu; dsstamps@memphis.edu; ecki@bas.ac.uk; fred@utig.ig.utexas.edu; elauria@igm.gov.ar; afz@dna.gov.ar; hparra@igm.cl</t>
  </si>
  <si>
    <t>Taylor, Frederick/A-2195-2009; Taylor, Frederick/HKV-2523-2023; Stamps, D Sarah/JUU-3443-2023; Dalziel, Ian W. D./G-5926-2010</t>
  </si>
  <si>
    <t>Stamps, D. Sarah/0000-0002-3531-1752</t>
  </si>
  <si>
    <t>L21308</t>
  </si>
  <si>
    <t>10.1029/2007GL031699</t>
  </si>
  <si>
    <t>232ZC</t>
  </si>
  <si>
    <t>WOS:000251059200006</t>
  </si>
  <si>
    <t>Stockwell, RG; Riggin, DM; French, WJR; Burns, GB; Murphy, DJ</t>
  </si>
  <si>
    <t>Stockwell, R. G.; Riggin, D. M.; French, W. J. R.; Burns, G. B.; Murphy, D. J.</t>
  </si>
  <si>
    <t>Planetary waves and intraseasonal oscillations at Davis, Antarctica, from undersampled time series</t>
  </si>
  <si>
    <t>LOWER THERMOSPHERE; ROTATIONAL TEMPERATURES; EQUATORIAL MESOSPHERE; S-TRANSFORM; MESOPAUSE; INFORMATION; VARIABILITY; EXTRACTION; STATION; WINTER</t>
  </si>
  <si>
    <t>[1] Nine years (1997 to 2005) of nighttime hydroxyl (6-2) band rotational temperatures were measured with a scanning spectrometer over Davis station, Antarctica (68.6 degrees S, 78.0 degrees E). A novel time series analysis technique is employed to create continuous longterm time series, and local spectral analysis of these temperature time series was performed to search for planetary wave and intraseasonal oscillations. Many significant wave signatures were observed. Coincident observations are found in a comparison between these temperature wave signatures and horizontal wind measurements made from a collocated MF radar. Several very long term wave signatures (30 to 50 days) are seen in the OH temperatures which are absent from the MF radar winds. An increase in wave activity is seen in the late winter season. Interannual variations are also shown indicating a peak in 2002; the year of the Southern Hemisphere Stratospheric Warming Event.</t>
  </si>
  <si>
    <t>Australian Antarctic Div, Space &amp; Atmospher Sci, Kingston, Tas 7050, Australia; NW Res Assoc Inc, Colorado res Assoc Div, Boulder, CO 80301 USA</t>
  </si>
  <si>
    <t>Australian Antarctic Division; NorthWest Research Associates</t>
  </si>
  <si>
    <t>Stockwell, RG (corresponding author), Australian Antarctic Div, Space &amp; Atmospher Sci, Channel Highway, Kingston, Tas 7050, Australia.</t>
  </si>
  <si>
    <t>stockwell@cora.nwra.com</t>
  </si>
  <si>
    <t>French, John/0000-0001-9305-6190</t>
  </si>
  <si>
    <t>NOV 13</t>
  </si>
  <si>
    <t>D21</t>
  </si>
  <si>
    <t>D21107</t>
  </si>
  <si>
    <t>10.1029/2006JD008034</t>
  </si>
  <si>
    <t>232ZP</t>
  </si>
  <si>
    <t>WOS:000251060500001</t>
  </si>
  <si>
    <t>Molyneux, EG; Hall, IR; Zahn, R; Diz, P</t>
  </si>
  <si>
    <t>Molyneux, Elizabeth G.; Hall, Ian R.; Zahn, Rainer; Diz, Paula</t>
  </si>
  <si>
    <t>Deep water variability on the southern Agulhas Plateau: Interhemispheric links over the past 170 ka</t>
  </si>
  <si>
    <t>ANTARCTIC CIRCUMPOLAR CURRENT; LAST GLACIAL MAXIMUM; ATLANTIC THERMOHALINE CIRCULATION; SCALE CLIMATE-CHANGE; NORTH-ATLANTIC; OCEAN CIRCULATION; CARBON-ISOTOPE; OVERTURNING CIRCULATION; BENTHIC FORAMINIFERA; BIPOLAR SEESAW</t>
  </si>
  <si>
    <t>Sortable silt mean grain sizes together with oxygen and carbon isotopic data produced on the benthic foraminiferal species Fontbotia wuellerstorfi are used to construct high-resolution records of near-bottom flow vigour and deep water ventilation at a core site MD02-2589 located at 2660 m water depth on the southern Agulhas Plateau. The results suggest that during glacial periods ( marine oxygen isotope stages 2 and 6, MIS 2 and MIS 6, respectively), there was a persistent contribution of a well-ventilated water mass within the Atlantic to Indian oceanic gateway with a delta C-13 signature similar to present-day Northern Component Water (NCW), e. g., North Atlantic Deep Water (NADW). The records of chemical ventilation and near-bottom flow vigor reflect changes in the advection of northern source waters and meridional variability in the location of the Antarctic Circumpolar Current and its associated fronts. We suggest that during Termination II (TII), changes in chemical ventilation are largely decoupled from near-bottom physical flow speeds. A mid-TII climate optimum is associated with a low-flow speed plateau concurrent with a period of increased ventilation shown in the benthic delta C-13 of other Southern Ocean records but not in our benthic delta C-13 of MD02-2589. The climate optimum is followed by a period of southern cooling around 128 ka coincident with a stronger influence of NCW to interglacial levels at around 124 ka. All proxy records show a near synchronous and rapid shift during the transition from MIS 5a-4 (73 ka). This large event is attributed to a rapid decrease in NADW influence and replacement over the Agulhas Plateau by southern source waters.</t>
  </si>
  <si>
    <t>[Molyneux, Elizabeth G.; Hall, Ian R.; Diz, Paula] Cardiff Univ, Sch Earth Ocean &amp; Planetary Sci, Cardiff CF10 3YE, Wales; [Zahn, Rainer] Autonomous Univ Barcelona, Inst Catalana Rec &amp; Estudis Avancats, Inst Ciencia &amp; Tecnol Ambientals, E-08193 Barcelona, Spain</t>
  </si>
  <si>
    <t>Cardiff University; Autonomous University of Barcelona; ICREA</t>
  </si>
  <si>
    <t>Molyneux, EG (corresponding author), Cardiff Univ, Sch Earth Ocean &amp; Planetary Sci, Main Bldg,Pk Pl, Cardiff CF10 3YE, Wales.</t>
  </si>
  <si>
    <t>molyneuxeg@cardiff.ac.uk</t>
  </si>
  <si>
    <t>Hall, Ian/C-2755-2009; Diz, Paula/N-3113-2015</t>
  </si>
  <si>
    <t>Hall, Ian/0000-0001-6960-1419; Diz, Paula/0000-0002-7136-0690</t>
  </si>
  <si>
    <t>Natural Environment Research Council [NER/A/S/2001/00560] Funding Source: researchfish; ICREA Funding Source: Custom</t>
  </si>
  <si>
    <t>Natural Environment Research Council(UK Research &amp; Innovation (UKRI)Natural Environment Research Council (NERC)); ICREA(ICREA)</t>
  </si>
  <si>
    <t>PA4209</t>
  </si>
  <si>
    <t>10.1029/2006PA001407</t>
  </si>
  <si>
    <t>233AP</t>
  </si>
  <si>
    <t>Green Accepted, Green Published</t>
  </si>
  <si>
    <t>WOS:000251063100001</t>
  </si>
  <si>
    <t>Morganti, A; Becagli, S; Castellano, E; Severi, M; Traversi, R; Udisti, R</t>
  </si>
  <si>
    <t>Morganti, Andrea; Becagli, Silvia; Castellano, Emiliano; Severi, Mirko; Traversi, Rita; Udisti, Roberto</t>
  </si>
  <si>
    <t>An improved flow analysis-ion chromatography method for determination of cationic and anionic species at trace levels in Antarctic ice cores</t>
  </si>
  <si>
    <t>ANALYTICA CHIMICA ACTA</t>
  </si>
  <si>
    <t>ion chromatography; anions; cations; Antarctic ice core; sample handling</t>
  </si>
  <si>
    <t>SEA-SALT AEROSOL; DOME-C; EAST ANTARCTICA; HIGH-RESOLUTION; PLATEAU AREAS; LAKE VOSTOK; MAJOR IONS; FIRN CORE; SNOW; CHEMISTRY</t>
  </si>
  <si>
    <t>A method was developed for the quantitative determination of cations and anions in Antarctic ice cores at mu gL(-1), and sub-mu gL(-1) levels by ion chromatography (IC), after ultra-clean decontamination procedures. Strict manipulation and decontamination procedures were used in sub-sampling, in order to minimise sample contamination. Na+, NH4+, K+, Mg2+, and Call were determined by 12-min isocratic elution (H2SO4 eluent). Contemporaneously, in a parallel device, F-, MSA (methane sulfonic acid), Cl-, NO3- and SO42- were analysed in a single 12-min run with multiple-step elution using Na2CO3/NaHCO3 as eluent. Melted ice samples were pumped from their still-closed containers (polystyrene accuvettes with polyethylene caps), shared between the two ion chromatographic systems, online filtered (0.45 mu m Teflon membrane) and pre-concentrated (anions and cations pre-concentration columns) using a flow analysis system, thus avoiding uptake of contaminants from the laboratory atmosphere. Sensitivity, linear range, reproducibility and detection limit were evaluated for each chemical species. Anion or cation detection limits ranged from 0.01 to 0.15 mu gL(-1) by using a relatively small sample volume (1.5mL). Such values are significantly lower than those reported in literature for almost all the components. These methods were successfully applied to the analysis of cations and anions at trace levels in the Dome C ice core. The composition of the atmospheric aerosol for the last 850 kyr was reconstructed by high-resolution continuous chemical stratigraphies. Concentration trends in the last nine glacial-interglacial climatic cycles were shown and briefly discussed. (c) 2007 Elsevier B.V. All rights reserved.</t>
  </si>
  <si>
    <t>Univ Florence, Dept Chem, I-50019 Florence, Italy</t>
  </si>
  <si>
    <t>University of Florence</t>
  </si>
  <si>
    <t>Morganti, A (corresponding author), Univ Florence, Dept Chem, Via Lastruccia 3, I-50019 Florence, Italy.</t>
  </si>
  <si>
    <t>andrea.morganti@unifi.it</t>
  </si>
  <si>
    <t>Udisti, Roberto/M-7966-2015; Becagli, Silvia/GNW-2665-2022; Severi, Mirko/J-2508-2012; Traversi, Rita/M-7586-2015</t>
  </si>
  <si>
    <t>Udisti, Roberto/0000-0003-4440-8238; Becagli, Silvia/0000-0003-3633-4849; Severi, Mirko/0000-0003-1511-6762; Traversi, Rita/0000-0002-9790-2195</t>
  </si>
  <si>
    <t>0003-2670</t>
  </si>
  <si>
    <t>1873-4324</t>
  </si>
  <si>
    <t>ANAL CHIM ACTA</t>
  </si>
  <si>
    <t>Anal. Chim. Acta</t>
  </si>
  <si>
    <t>NOV 12</t>
  </si>
  <si>
    <t>10.1016/j.aca.2007.09.050</t>
  </si>
  <si>
    <t>232VA</t>
  </si>
  <si>
    <t>WOS:000251047000009</t>
  </si>
  <si>
    <t>Cardoso, JCR; de Vet, ECJM; Louro, B; Elgar, G; Clark, MS; Power, DM</t>
  </si>
  <si>
    <t>Cardoso, Joao C. R.; de Vet, Edwin C. J. M.; Louro, Bruno; Elgar, Greg; Clark, Melody S.; Power, Deborah M.</t>
  </si>
  <si>
    <t>Persistence of duplicated PAC1 receptors in the teleost, Sparus auratus</t>
  </si>
  <si>
    <t>BMC EVOLUTIONARY BIOLOGY</t>
  </si>
  <si>
    <t>CYCLASE-ACTIVATING POLYPEPTIDE; VASOACTIVE-INTESTINAL-PEPTIDE; GENOME DUPLICATION; FUNCTIONAL-CHARACTERIZATION; MOLECULAR EVOLUTION; PROVIDES EVIDENCE; SPLICE VARIANTS; VIP-LIKE; PITUITARY; FISH</t>
  </si>
  <si>
    <t>Background: Duplicated genes are common in vertebrate genomes. Their persistence is assumed to be either a consequence of gain of novel function (neofunctionalisation) or partitioning of the function of the ancestral molecule (sub-functionalisation). Surprisingly few studies have evaluated the extent of such modifications despite the numerous duplicated receptor and ligand genes identified in vertebrate genomes to date. In order to study the importance of function in the maintenance of duplicated genes, sea bream (Sparus auratus) PAC(1) receptors, sequence homologues of the mammalian receptor specific for PACAP (Pituitary Adenylate Cyclase-Activating Polypeptide), were studied. These receptors belong to family 2 GPCRs and most of their members are duplicated in teleosts although the reason why both persist in the genome is unknown. Results: Duplicate sea bream PACAP receptor genes (sbPAC(1)A and sbPAC(1)B), members of family 2 GPCRs, were isolated and share 77% amino acid sequence identity. RT-PCR with specific primers for each gene revealed that they have a differential tissue distribution which overlaps with the distribution of the single mammalian receptor. Furthermore, in common with mammals, the teleost genes undergo alternative splicing and a PAC(1)Ahop1 isoform has been characterised. Duplicated orthologous receptors have also been identified in other teleost genomes and their distribution profile suggests that function may be species specific. Functional analysis of the paralogue sbPAC(1)s in Cos7 cells revealed that they are strongly stimulated in the presence of mammalian PACAP(27) and PACAP(38) and far less with VIP (Vasoactive Intestinal Peptide). The sbPAC(1) receptors are equally stimulated (LOG(EC50) values for maximal cAMP production) in the presence of PACAP27 (-8.74 +/- 0.29 M and -9.15 +/- 0.21 M, respectively for sbPAC(1)A and sbPAC(1)B, P &gt; 0.05) and PACAP(38) (-8.54 +/- 0.18 M and -8.92 +/- 0.24 M, respectively for sbPAC(1)A and sbPAC(1)B, P &gt; 0.05). Human VIP was found to stimulate sbPAC(1)A (-7.23 +/- 0.20 M) more strongly than sbPAC(1)B (-6.57 +/- 0.14 M, P &lt; 0.05) and human secretin (SCT), which has not so far been identified in fish genomes, caused negligible stimulation of both receptors. Conclusion: The existence of functionally divergent duplicate sbPAC(1) receptors is in line with previously proposed theories about the origin and maintenance of duplicated genes. Sea bream PAC(1) duplicate receptors resemble the typical mammalian PAC(1), and PACAP peptides were found to be more effective than VIP in stimulating cAMP production, although sbPAC(1)A was more responsive for VIP than sbPAC(1)B. These results together with the highly divergent pattern of tissue distribution suggest that a process involving neofunctionalisation occurred after receptor duplication within the fish lineage and probably accounts for their persistence in the genome. The characterisation of further duplicated receptors and their ligands should provide insights into the evolution and function of novel protein-protein interactions associated with the vertebrate radiation.</t>
  </si>
  <si>
    <t>[Cardoso, Joao C. R.; Louro, Bruno; Power, Deborah M.] Univ Algarve, CCMAR, P-8005139 Faro, Portugal; [de Vet, Edwin C. J. M.] Babraham Inst, Mol Signalling Lab, Cambridge CB2 4AT, England; [Elgar, Greg] Queen Mary Univ London, Sch Biol &amp; Chem Sci, London E1 4NS, England; [Clark, Melody S.] British Antarctic Survey, Nat Environm Res Council, Cambridge CB3 0ET, England</t>
  </si>
  <si>
    <t>Universidade do Algarve; UK Research &amp; Innovation (UKRI); Biotechnology and Biological Sciences Research Council (BBSRC); Babraham Institute; University of London; Queen Mary University London; UK Research &amp; Innovation (UKRI); Natural Environment Research Council (NERC); NERC British Antarctic Survey</t>
  </si>
  <si>
    <t>Cardoso, JCR (corresponding author), Univ Algarve, CCMAR, P-8005139 Faro, Portugal.</t>
  </si>
  <si>
    <t>jccardo@ualg.pt; edwin.devet@bbsrc.ac.uk; blouro@ualg.pt; elgar@qmul.ac.uk; mscl@bas.ac.uk; dpower@ualg.pt</t>
  </si>
  <si>
    <t>dos Reis Cardoso, Joao Carlos/M-4151-2013; Power, Deborah M/D-3333-2011; Clark, Melody/D-7371-2014</t>
  </si>
  <si>
    <t>dos Reis Cardoso, Joao Carlos/0000-0001-7890-0170; Power, Deborah M/0000-0003-1366-0246; Clark, Melody/0000-0002-3442-3824; Elgar, Greg/0000-0001-7323-1596; Louro, Bruno/0000-0001-8164-581X</t>
  </si>
  <si>
    <t>Medical Research Council [G0401138] Funding Source: researchfish; Natural Environment Research Council [bas010015] Funding Source: researchfish; MRC [G0401138] Funding Source: UKRI; NERC [bas010015] Funding Source: UKRI; Medical Research Council [G0401138] Funding Source: Medline</t>
  </si>
  <si>
    <t>Medical Research Council(UK Research &amp; Innovation (UKRI)Medical Research Council UK (MRC)); Natural Environment Research Council(UK Research &amp; Innovation (UKRI)Natural Environment Research Council (NERC)); MRC(UK Research &amp; Innovation (UKRI)Medical Research Council UK (MRC)); NERC(UK Research &amp; Innovation (UKRI)Natural Environment Research Council (NERC)); Medical Research Council(UK Research &amp; Innovation (UKRI)Medical Research Council UK (MRC))</t>
  </si>
  <si>
    <t>1471-2148</t>
  </si>
  <si>
    <t>BMC EVOL BIOL</t>
  </si>
  <si>
    <t>BMC Evol. Biol.</t>
  </si>
  <si>
    <t>10.1186/1471-2148-7-221</t>
  </si>
  <si>
    <t>Evolutionary Biology; Genetics &amp; Heredity</t>
  </si>
  <si>
    <t>257FK</t>
  </si>
  <si>
    <t>WOS:000252784400002</t>
  </si>
  <si>
    <t>Janko, K; Lecointre, G; DeVries, A; Couloux, A; Cruaud, C; Marshall, C</t>
  </si>
  <si>
    <t>Janko, Karel; Lecointre, Guillaume; DeVries, Arthur; Couloux, Arnaud; Cruaud, Corinne; Marshall, Craig</t>
  </si>
  <si>
    <t>Did glacial advances during the Pleistocene influence differently the demographic histories of benthic and pelagic Antarctic shelf fishes? - Inferences from intraspecific mitochondrial and nuclear DNA sequence diversity</t>
  </si>
  <si>
    <t>POPULATION-GROWTH; GENE FLOW; STATISTICAL PROPERTIES; MOLECULAR EVOLUTION; ERINACEUS-CONCOLOR; EUROPEAN HEDGEHOGS; MARINE FISHES; POLAR FRONT; ROSS-SEA; PHYLOGENY</t>
  </si>
  <si>
    <t>Background: Circum-Antarctic waters harbour a rare example of a marine species flock - the Notothenioid fish, most species of which are restricted to the continental shelf. It remains an open question as to how they survived Pleistocene climatic fluctuations characterised by repeated advances of continental glaciers as far as the shelf break that probably resulted in a loss of habitat for benthic organisms. Pelagic ecosystems, on the other hand, might have flourished during glacial maxima due to the northward expansion of Antarctic polar waters. In order to better understand the role of ecological traits in Quaternary climatic fluctuations, we performed demographic analyses of populations of four fish species from the tribe Trematominae, including both fully benthic and pelagic species using the mitochondrial cytochrome b gene and an intron from the nuclear S7 gene. Results: Nuclear and cytoplasmic markers showed differences in the rate and time of population expansions as well as the likely population structure. Neutrality tests suggest that such discordance comes from different coalescence dynamics of each marker, rather than from selective pressure. Demographic analyses based on intraspecific DNA diversity suggest a recent population expansion in both benthic species, dated by the cyt b locus to the last glacial cycle, whereas the population structure of pelagic feeders either did not deviate from a constant-size model or indicated that the onset of the major population expansion of these species by far predated those of the benthic species. Similar patterns were apparent even when comparing previously published data on other Southern Ocean organisms, but we observed considerable heterogeneity within both groups with regard to the onset of major demographic events and rates. Conclusion: Our data suggest benthic and pelagic species reacted differently to the Pleistocene ice-sheet expansions that probably significantly reduced the suitable habitat for benthic species. However, the asynchronous timing of major demographic events observed in different species within both ecological guilds, imply that the species examined here may have different population and evolutionary histories, and that more species should be analysed in order to more precisely assess the role of life history in the response of organisms to climatic changes.</t>
  </si>
  <si>
    <t>Acad Sci Czech Republ, Inst Anim Physiol &amp; Genet, Genet Lab, CR-27721 Libechov, Czech Republic; [Lecointre, Guillaume] Museum Natl Hist Nat, CNRS, Dept Syst Evolut, UMR 7138, F-75231 Paris 5, France; [DeVries, Arthur] Univ Illinois, Urbana, IL 61801 USA; [Couloux, Arnaud; Cruaud, Corinne] Ct Nat Sequencage, F-91057 Evry, France; [Marshall, Craig] Univ Otago, Dept Biochem, Dunedin, New Zealand</t>
  </si>
  <si>
    <t>Czech Academy of Sciences; Institute of Animal Physiology &amp; Genetics of the Czech Academy of Sciences; Centre National de la Recherche Scientifique (CNRS); CNRS - National Institute for Biology (INSB); Museum National d'Histoire Naturelle (MNHN); Sorbonne Universite; University of Illinois System; University of Illinois Urbana-Champaign; University of Otago</t>
  </si>
  <si>
    <t>Janko, K (corresponding author), Acad Sci Czech Republ, Inst Anim Physiol &amp; Genet, Genet Lab, Rumburska 89, CR-27721 Libechov, Czech Republic.</t>
  </si>
  <si>
    <t>janko@iapg.cas.cz; lecointr@mnhn.fr; adevries@uiuc.edu; acouloux@genoscope.cns.fr; cruaud@genoscope.cns.fr; craig.marshall@otago.ac.nz</t>
  </si>
  <si>
    <t>Marshall, Craig J./C-6668-2009; Janko, Karel/G-7183-2014</t>
  </si>
  <si>
    <t>Marshall, Craig J./0000-0003-4186-0368; Cruaud, Corinne/0000-0002-4752-7278; Couloux, Arnaud/0000-0003-2356-0062</t>
  </si>
  <si>
    <t>NIEHS NIH HHS [27306C2005] Funding Source: Medline</t>
  </si>
  <si>
    <t>NIEHS NIH HHS(United States Department of Health &amp; Human ServicesNational Institutes of Health (NIH) - USANIH National Institute of Environmental Health Sciences (NIEHS))</t>
  </si>
  <si>
    <t>10.1186/1471-2148-7-220</t>
  </si>
  <si>
    <t>WOS:000252784400001</t>
  </si>
  <si>
    <t>Kim, HS; Kim, S; Bak, JY; Garcia, M; Brandl, B; Xiao, K; Walsh, W; Smith, RC; Youn, S</t>
  </si>
  <si>
    <t>Kim, Hak-Sub; Kim, Sungeun; Bak, Jih-Yong; Garcia, Mario; Brandl, Bernard; Xiao, Kecheng; Walsh, Wilfred; Smith, R. Chris; Youn, Soyoung</t>
  </si>
  <si>
    <t>Irac observations of CO J=4→3 high-velocity cloud in the 30 doradus complex in the large magellanic cloud</t>
  </si>
  <si>
    <t>ASTROPHYSICAL JOURNAL</t>
  </si>
  <si>
    <t>ANTARCTIC-SUBMILLIMETER-TELESCOPE; YOUNG STELLAR OBJECTS; ARRAY CAMERA IRAC; APERTURE SYNTHESIS; SPACE-TELESCOPE; STAR-FORMATION; 30 DORADUS; EVOLUTION; EMISSION; HYDROGEN</t>
  </si>
  <si>
    <t>We present the results of (CO)-C-12 J = 2 -&gt; 1 observations of the X-ray-bright giant shell complex 30 Doradus in the Large Magellanic Cloud (LMC) using the Antarctic Submillimeter Telescope and Remote Observatory (AST/RO). This is the one of the largest H II complexes in the Local Group. We compare the (CO)-C-12 J = 2 -&gt; 1 observations against previously made (CO)-C-12 J = 4 -&gt; 3 observations and analyze the spatial distribution of young stellar objects (YSOs) within the cloud using the Spitzer IRAC observations of the 30 Doradus complex. Both peaks of (CO)-C-12 J = 2 -&gt; 1 and J = 4 -&gt; 3 emitting clouds coincide with the densest region of the filaments in which multiple shells are colliding. The YSOs are clustered in the southern ridge of the warm and dense molecular gas clouds traced by (CO)-C-12 J = 4 -&gt; 3, indicating a filamentary structure of star formation throughout 30 Doradus. We also find an excess of Class I YSO candidates close to the clouds, which likely represent the most recent phase of star formation in this region. This is a region where the triggered star formation has actually occurred, and newly formed stars may have produced such a high-velocity outflow through interacting with the surrounding molecular cloud material.</t>
  </si>
  <si>
    <t>Sejong univ, Dept Astron &amp; Space Sci, ARCSEC, Seoul 143747, South Korea; Harvard Smithsonian Ctr Astrophys, Cambridge, MA 02138 USA; Sterrewacht Leiden, Leiden Observ, NL-2300 RA Leiden, Netherlands; Natl Opt Astron Observ, Tucson, AZ 85719 USA</t>
  </si>
  <si>
    <t>Sejong University; Smithsonian Astrophysical Observatory; Smithsonian Institution; Harvard University; Leiden University - Excl LUMC; Leiden University; National Optical Astronomy Observatory</t>
  </si>
  <si>
    <t>Kim, HS (corresponding author), Sejong univ, Dept Astron &amp; Space Sci, ARCSEC, KunJa Dong 98, Seoul 143747, South Korea.</t>
  </si>
  <si>
    <t>sek@sejong.ac.kr; skim@cfa.harvard.edu</t>
  </si>
  <si>
    <t>Kim, Hak-Sub/AAK-3352-2020; Kim, Sungeun/AAH-3658-2021</t>
  </si>
  <si>
    <t>Kim, Sungeun/0000-0002-7558-8502; Kim, Hak-Sub/0000-0001-7033-4522</t>
  </si>
  <si>
    <t>TEMPLE CIRCUS, TEMPLE WAY, BRISTOL BS1 6BE, ENGLAND</t>
  </si>
  <si>
    <t>0004-637X</t>
  </si>
  <si>
    <t>1538-4357</t>
  </si>
  <si>
    <t>ASTROPHYS J</t>
  </si>
  <si>
    <t>Astrophys. J.</t>
  </si>
  <si>
    <t>NOV 10</t>
  </si>
  <si>
    <t>10.1086/521589</t>
  </si>
  <si>
    <t>228VK</t>
  </si>
  <si>
    <t>WOS:000250760500027</t>
  </si>
  <si>
    <t>Ackert, RP; Mukhopadhyay, S; Parizek, BR; Borns, HW</t>
  </si>
  <si>
    <t>Ackert, Robert P., Jr.; Mukhopadhyay, Sujoy; Parizek, Byron R.; Borns, Harold W.</t>
  </si>
  <si>
    <t>Ice elevation near the West Antarctic Ice Sheet divide during the Last Glaciation</t>
  </si>
  <si>
    <t>GROUNDING-LINE RETREAT; ROSS-SEA; MAXIMUM; CHRONOLOGY; THICKNESS; GLACIER; VALLEY; MODEL</t>
  </si>
  <si>
    <t>Interior ice elevations of the West Antarctic Ice Sheet (WAIS) during the last glaciation, which can serve as benchmarks for ice-sheet models, are largely unconstrained. Here we report past ice elevation data from the Ohio Range, located near the WAIS divide and the onset region of the Mercer Ice Stream. Cosmogenic exposure ages of glacial erratics that record a WAIS highstand similar to 125 m above the present surface date to similar to 11.5 ka. The deglacial chronology prohibits an interior WAIS contribution to meltwater pulse 1A. Our observational data of ice elevation changes compare well with predictions of a thermomechanical ice-sheet model that incorporates very low basal shear stress downstream of the present day grounding line. We conclude that ice streams in the Ross Sea Embayment had thin, low-slope profiles during the last glaciation and interior WAIS ice elevations during this period were several hundred meters lower than previous reconstructions.</t>
  </si>
  <si>
    <t>Harvard Univ, Dept Earth &amp; Planetary Sci, Cambridge, MA 02138 USA; Coll New Jersey, Dept Phys, Ewing, NJ 08628 USA; Univ Maine, Climate Change Inst, Orono, ME 04469 USA</t>
  </si>
  <si>
    <t>Harvard University; College of New Jersey; University of Maine System; University of Maine Orono</t>
  </si>
  <si>
    <t>Ackert, RP (corresponding author), Harvard Univ, Dept Earth &amp; Planetary Sci, 20 Oxford St, Cambridge, MA 02138 USA.</t>
  </si>
  <si>
    <t>rackert@fas.harvard.edu</t>
  </si>
  <si>
    <t>L21506</t>
  </si>
  <si>
    <t>10.1029/2007GL031412</t>
  </si>
  <si>
    <t>230BJ</t>
  </si>
  <si>
    <t>WOS:000250850000004</t>
  </si>
  <si>
    <t>Maes, C; Gourdeau, L; Couvelard, X; Ganachaud, A</t>
  </si>
  <si>
    <t>Maes, Christophe; Gourdeau, Lionel; Couvelard, Xavier; Ganachaud, Alexandre</t>
  </si>
  <si>
    <t>What are the origins of the Antarctic Intermediate Waters transported by the North Caledonian Jet?</t>
  </si>
  <si>
    <t>SOUTH-PACIFIC; HYDROGRAPHIC DATA; CIRCULATION; OCEAN; SHALLOW; HEAT</t>
  </si>
  <si>
    <t>The trajectories of several Argo floats are studied to investigate the mid-depth circulation in the southwest Pacific that coincides with the spreading of the Antarctic Intermediate Waters (AAIW). Before entering the Coral Sea, the floats converge and join the North Caledonian Jet (NCJ) south of 15 degrees S. These observations suggest that the waters transported by this jet do not have a unique source. Hydrologic parameters and oxygen concentration confirm that the characteristics of the AAIW in the NCJ result from a convergence and a mixing of waters from the northern limb of the subtropical gyre and from the south-eastern New Caledonian region. The northern contribution is associated with the water masses transported by the North Vanuatu jet that re-circulate in the region between the D'Entrecasteaux reefs and the Vanuatu archipelago. It is shown that such complex dynamical features could be reproduced by numerical models when their horizontal resolution is sufficiently high.</t>
  </si>
  <si>
    <t>Inst Rech Dev, Lab Etudes Geophys &amp; Oceanog Spatiales, Ctr Noumea, Noumea 98800, New Caledonia</t>
  </si>
  <si>
    <t>Institut de Recherche pour le Developpement (IRD)</t>
  </si>
  <si>
    <t>Maes, C (corresponding author), Inst Rech Dev, Lab Etudes Geophys &amp; Oceanog Spatiales, Ctr Noumea, BP A5, Noumea 98800, New Caledonia.</t>
  </si>
  <si>
    <t>christophe.maes@ird.fr</t>
  </si>
  <si>
    <t>Gourdeau, Lionel/JPX-4870-2023; Ganachaud, Alexandre/B-7556-2013; maes, christophe/L-4049-2015</t>
  </si>
  <si>
    <t>Gourdeau, Lionel/0000-0002-2078-3351; Ganachaud, Alexandre/0000-0002-9709-1396;</t>
  </si>
  <si>
    <t>L21608</t>
  </si>
  <si>
    <t>10.1029/2007GL031546</t>
  </si>
  <si>
    <t>WOS:000250850000007</t>
  </si>
  <si>
    <t>Bingham, RG; Siegert, MJ</t>
  </si>
  <si>
    <t>Bingham, Robert G.; Siegert, Martin J.</t>
  </si>
  <si>
    <t>Radar-derived bed roughness characterization of Institute and Moller ice streams, West Antarctica, and comparison with Siple Coast ice</t>
  </si>
  <si>
    <t>SUBGLACIAL SEDIMENTS; FLOW; TOPOGRAPHY; DYNAMICS; GEOLOGY; BALANCE; ONSET</t>
  </si>
  <si>
    <t>Subglacial bed conditions exert a significant control on ice stream behavior and evolution, and can be characterized by determining bed roughness from FFT analysis of radar-imaged basal reflectors. Here we assess bed roughness across Institute and Moller ice streams, West Antarctica, and compare our findings with bed roughness determined across the Siple Coast ice streams. We find that variations in bed roughness are spatially organized, and attribute this to the varying efficacy of subglacial erosion and deposition, with rougher (inland, slow-flowing) regions largely manifesting preglacial topography, and smoother (downstream, fast-flowing) regions evincing significant postglacial modification to the subglacial landscape. The observed similarities between bed roughness characteristics of IIS/MIS and the Siple ice streams suggest that IIS and MIS are largely underlain by wet, poorly consolidated sediments, and may therefore be vulnerable to the types of dynamical instabilities experienced by the Siple ice streams.</t>
  </si>
  <si>
    <t>British Antarctic Survey, NERC, Cambridge CB3 0ET, England; Univ Bristol, Sch Geog Sci, Bristol Glaciol Ctr, Ctr Polar Observat &amp; Modell, Bristol BS8 1TH, Avon, England; Univ Edinburgh, Sch Geosci, Ctr Polar Observat &amp; Modell, Edinburgh EH9 3JW, Midlothian, Scotland</t>
  </si>
  <si>
    <t>UK Research &amp; Innovation (UKRI); Natural Environment Research Council (NERC); NERC British Antarctic Survey; University of Bristol; University of Edinburgh</t>
  </si>
  <si>
    <t>Bingham, RG (corresponding author), British Antarctic Survey, NERC, High Cross,Madingley Rd, Cambridge CB3 0ET, England.</t>
  </si>
  <si>
    <t>rgbi@bas.ac.uk</t>
  </si>
  <si>
    <t>Siegert, Martin/M-9939-2019; Siegert, Martin J/A-3826-2008; Bingham, Robert G/G-3576-2017</t>
  </si>
  <si>
    <t>Siegert, Martin/0000-0002-0090-4806; Siegert, Martin J/0000-0002-0090-4806; Bingham, Robert G/0000-0002-0630-2021</t>
  </si>
  <si>
    <t>NOV 8</t>
  </si>
  <si>
    <t>L21504</t>
  </si>
  <si>
    <t>10.1029/2007GL031483</t>
  </si>
  <si>
    <t>230BH</t>
  </si>
  <si>
    <t>WOS:000250849800004</t>
  </si>
  <si>
    <t>Jaeschke, A; Rühlemann, C; Arz, H; Heil, G; Lohmann, G</t>
  </si>
  <si>
    <t>Jaeschke, Andrea; Ruehlemann, Carsten; Arz, Helge; Heil, Gerrit; Lohmann, Gerrit</t>
  </si>
  <si>
    <t>Coupling of millennial-scale changes in sea surface temperature and precipitation off northeastern Brazil with high-latitude climate shifts during the last glacial period</t>
  </si>
  <si>
    <t>ATLANTIC THERMOHALINE CIRCULATION; WESTERN TROPICAL ATLANTIC; OCEAN-ATMOSPHERE MODEL; DEEP-WATER PRODUCTION; NORTH-ATLANTIC; HEINRICH EVENTS; GREENLAND ICE; ISOTOPE RECORDS; RAPID CHANGES; VARIABILITY</t>
  </si>
  <si>
    <t>High-resolution records of alkenone-derived sea surface temperatures and elemental Ti/Ca ratios from a sediment core retrieved off northeastern Brazil ( 4 degrees S) reveal short-term climate variability throughout the past 63,000 a. Large pulses of terrigenous sediment discharge, caused by increased precipitation in the Brazilian hinterland, coincide with Heinrich events and the Younger Dryas period. Terrigenous input maxima related to Heinrich events H6-H2 are characterized by rapid cooling of surface water ranging between 0.5 degrees and 2 degrees C. This signature is consistent with a climate model experiment where a reduction of the Atlantic meridional overturning circulation ( AMOC) and related North Atlantic cooling causes intensification of NE trade winds and a southward movement of the Intertropical Convergence Zone, resulting in enhanced precipitation off northeastern Brazil. During deglaciation the surface temperature evolution at the core site predominantly followed the Antarctic warming trend, including a cooling, prior to the Younger Dryas period. An abrupt temperature rise preceding the onset of the Bolling/Allerod transition agrees with model experiments suggesting a Southern Hemisphere origin for the abrupt resumption of the AMOC during deglaciation caused by Southern Ocean warming and associated with northward flow anomalies of the South Atlantic western boundary current.</t>
  </si>
  <si>
    <t>Univ Bremen, Dept Geosci, D-28359 Bremen, Germany; Royal Netherlands Inst Sea Res, Dept Marine Biogeochem &amp; Toxicol, NL-1790 AB Den Burg, Netherlands; Fed Inst Geosci &amp; Nat Resources, Div Marine Geol &amp; Deep Sea Mining, D-30655 Hannover, Germany; Geoforschungszentrum Potsdam, Sect 33 Climate &amp; Sediments, D-14473 Potsdam, Germany; Alfred Wegener Inst Polar &amp; Marine Res, D-27570 Bremerhaven, Germany</t>
  </si>
  <si>
    <t>University of Bremen; Utrecht University; Royal Netherlands Institute for Sea Research (NIOZ); Helmholtz Association; Helmholtz-Center Potsdam GFZ German Research Center for Geosciences; Helmholtz Association; Alfred Wegener Institute, Helmholtz Centre for Polar &amp; Marine Research</t>
  </si>
  <si>
    <t>Jaeschke, A (corresponding author), Univ Bremen, Dept Geosci, Klagenfurter Str, D-28359 Bremen, Germany.</t>
  </si>
  <si>
    <t>jaeschke@nioz.nl; carsten.ruehlemann@bgr.de; harz@gfz-potsdam.de; gheil@uni-bremen.de; lohmann@awi-bremerhaven.de</t>
  </si>
  <si>
    <t>Lohmann, Gerrit/M-7453-2016; Jaeschke, Andrea/B-8799-2017; Arz, Helge W/A-6659-2013</t>
  </si>
  <si>
    <t>Lohmann, Gerrit/0000-0003-2089-733X; Jaeschke, Andrea/0000-0003-2518-2739; Arz, Helge Wolfgang/0000-0002-1997-1718</t>
  </si>
  <si>
    <t>PA4206</t>
  </si>
  <si>
    <t>10.1029/2006PA001391</t>
  </si>
  <si>
    <t>230DP</t>
  </si>
  <si>
    <t>WOS:000250856400001</t>
  </si>
  <si>
    <t>Alexander, MJ; Teitelbaum, H</t>
  </si>
  <si>
    <t>Alexander, M. Joan; Teitelbaum, Hector</t>
  </si>
  <si>
    <t>Observation and analysis of a large amplitude mountain wave event over the Antarctic peninsula</t>
  </si>
  <si>
    <t>IMAGING GRAVITY-WAVES; AMSU-A RADIANCES; GENERAL-CIRCULATION; STRATOSPHERE; DRAG; AIRS/AMSU/HSB</t>
  </si>
  <si>
    <t>We use measurements from the Atmospheric Infrared Sounder ( AIRS) on the AQUA satellite to observe the 3- dimensional structure of a gravity wave event over the Antarctic peninsula, and determine the horizontal and vertical wavelengths, propagation direction, and temperature amplitude, and from these we estimate wave momentum flux. Using theoretical knowledge of the weighting functions and radiative transfer for AIRS radiance measurements at temperature sensitive channels in the infrared, we derive a method of estimating wave temperature amplitude directly from the radiance measurements. Comparison of the radiance- based temperature amplitudes to the temperature amplitude in AIRS retrieved temperature fields shows close agreement. Because the radiances have 3- times better horizontal resolution than the retrievals, our analysis suggests we can routinely observe important geophysical properties of waves with horizontal wavelengths as short as 80 km using AIRS radiances. We further analyze a nearly identical wave event appearing in the European Centre for Medium Range Forecasts ( ECMWF) temperature and wind fields from both assimilation and forecast data. Analysis of the ECMWF data and nearby radiosonde wind profiles allows the interpretation as a mountain wave event forced by flow over the topography of the Antarctic peninsula.</t>
  </si>
  <si>
    <t>NorthWest Res Associates, Colorado Res Associates Div, Boulder, CO 80301 USA; ENS, Lab Meteorol Dynam, F-75235 Paris 05, France; Lab Meteorol Dynam, F-75235 Paris 05, France</t>
  </si>
  <si>
    <t>NorthWest Research Associates; Universite PSL; Ecole Normale Superieure (ENS); Sorbonne Universite; Sorbonne Universite</t>
  </si>
  <si>
    <t>Alexander, MJ (corresponding author), NorthWest Res Associates, Colorado Res Associates Div, 3380 Mitchell Lane, Boulder, CO 80301 USA.</t>
  </si>
  <si>
    <t>NOV 7</t>
  </si>
  <si>
    <t>D21103</t>
  </si>
  <si>
    <t>10.1029/2006JD008368</t>
  </si>
  <si>
    <t>230BR</t>
  </si>
  <si>
    <t>WOS:000250850900002</t>
  </si>
  <si>
    <t>Copland, L; Mueller, DR; Weir, L</t>
  </si>
  <si>
    <t>Copland, Luke; Mueller, Derek R.; Weir, Laurie</t>
  </si>
  <si>
    <t>Rapid loss of the ayles ice shelf, ellesmere island, Canada</t>
  </si>
  <si>
    <t>ANTARCTIC PENINSULA; SEA-ICE; DISINTEGRATION; DYNAMICS</t>
  </si>
  <si>
    <t>On August 13, 2005, almost the entire Ayles Ice Shelf ( 87.1 km(2)) calved off within an hour and created a new 66.4 km(2) ice island in the Arctic Ocean. This loss of one of the six remaining Ellesmere Island ice shelves reduced their overall area by similar to 7.5%. The ice shelf was likely weakened prior to calving by a long- term negative mass balance related to an increase in mean annual temperatures over the past 50+ years. The weakened ice shelf then calved during the warmest summer on record in a period of high winds, record low sea ice conditions and the loss of a semipermanent landfast sea ice fringe. Climate reanalysis suggests that a threshold of &gt; 200 positive degree days year(-1) is important in determining when ice shelf calving events occur on N. Ellesmere Island.</t>
  </si>
  <si>
    <t>Univ Ottawa, Dept Geog, Ottawa, ON K1N 6N5, Canada; Univ Alaska Fairbanks, Inst Geophys, Fairbanks, AK 99775 USA; Canadian Ice Serv, Ottawa, ON K1A 0H3, Canada</t>
  </si>
  <si>
    <t>University of Ottawa; University of Alaska System; University of Alaska Fairbanks; Environment &amp; Climate Change Canada; Meteorological Service of Canada; Canadian Ice Service</t>
  </si>
  <si>
    <t>Copland, L (corresponding author), Univ Ottawa, Dept Geog, Ottawa, ON K1N 6N5, Canada.</t>
  </si>
  <si>
    <t>luke.copland@uottawa.ca</t>
  </si>
  <si>
    <t>Mueller, Derek/0000-0003-1974-319X</t>
  </si>
  <si>
    <t>NOV 3</t>
  </si>
  <si>
    <t>L21501</t>
  </si>
  <si>
    <t>10.1029/2007GL031809</t>
  </si>
  <si>
    <t>228CD</t>
  </si>
  <si>
    <t>WOS:000250703800007</t>
  </si>
  <si>
    <t>Hibbins, RE; Espy, PJ; Jarvis, MJ</t>
  </si>
  <si>
    <t>Hibbins, R. E.; Espy, P. J.; Jarvis, M. J.</t>
  </si>
  <si>
    <t>Quasi-biennial modulation of the semidiurnal tide in the upper mesosphere above Halley, Antarctica</t>
  </si>
  <si>
    <t>LOWER THERMOSPHERE; 12-HOUR OSCILLATION; UPPER-ATMOSPHERE; MEAN WINDS; SCOTT BASE; SOUTH-POLE; RADAR; WAVE; QBO</t>
  </si>
  <si>
    <t>We present an analysis of a long- term archive of horizontal wind data derived from meteor wind observations from a SuperDARN radar at Halley, Antarctica ( 76 degrees S, 27 degrees W). Systematic differences between the 12- hour component in the meridional wind and the climatological mean are observed showing evidence of a quasi- biennial modulation of the high- latitude semidiurnal tide in the upper mesosphere. The amplitude of the observed tides is enhanced when the equatorial stratospheric quasibiennial oscillation above 10 hPa is westerly. This enhancement is greatest in the summertime tidal amplitudes when the zonal wavenumber one ( S = 1) non-migrating component dominates the semidiurnal wind field, and is coincident with an enhancement of the summertime planetary wave activity in the upper mesosphere. These observations strongly support the hypothesis that the S = 1 component of the semidiurnal tide observed at high latitudes is due to a non- linear interaction between the migrating S = 2 semidiurnal tide and quasi- stationary S = 1 planetary waves.</t>
  </si>
  <si>
    <t>British Antarctic Survey, Div Phys Sci, Cambridge CB3 0ET, England</t>
  </si>
  <si>
    <t>Hibbins, RE (corresponding author), British Antarctic Survey, Div Phys Sci, High Cross,Madingley Rd, Cambridge CB3 0ET, England.</t>
  </si>
  <si>
    <t>L21804</t>
  </si>
  <si>
    <t>10.1029/2007GL031282</t>
  </si>
  <si>
    <t>WOS:000250703800004</t>
  </si>
  <si>
    <t>Troshichev, OA; Janzhura, AS; Stauning, P</t>
  </si>
  <si>
    <t>Troshichev, O. A.; Janzhura, A. S.; Stauning, P.</t>
  </si>
  <si>
    <t>Magnetic activity in the polar caps: Relation to sudden changes in the solar wind dynamic pressure</t>
  </si>
  <si>
    <t>MAGNETOSPHERE; AURORA; INDEX; PROPAGATION; SUBSTORMS; PULSES; FIELD</t>
  </si>
  <si>
    <t>Response of the polar cap (PC) magnetic activity to sudden changes in solar wind dynamic pressure is analyzed with use of the northern and southern polar cap indices for 1998-2002 and corresponding solar wind parameters: geoeffective interplanetary electric field (Em) and the solar wind dynamic pressure (P-SW), reduced to the magnetopause. Only sudden pressure pulses starting against the background of steady quiet pressure levels were taken for the analysis. To separate effects produced by Em and P-SW, we examined the behavior of the average characteristics P-SW, Em, and PC under the different restrictions imposed in turn on (1) electric field Em, (2) magnitude of the pressure P-SW after the jump, and (3) rate of the pressure increase (dP(SW)/dt), the other two quantities being kept invariant in so doing. The following results have been obtained. The electric field Em determines behavior of the PC index, the value of which is directly influenced by the Em increase with a delay time of about 15-30 min. The solar wind pressure growth rate (i.e., jump power dP(SW)/dt) appears to be the second most important factor for the PC index increase, the pressure gradient dP(SW) = 1 nPa being approximately equivalent to the action of dEm = 0.33 mV/m, with a delay time shortened up to a few minutes. The growth rate of the pressure gradient seems to be the sole factor for the PC index increase under conditions of the northward interplanetary magnetic field B-Z and for the PC index decrease after the dynamic pressure negative jump.</t>
  </si>
  <si>
    <t>Arctic &amp; Antarctic Res Inst, Dept Geophys, St Petersburg 199397, Russia; Danish Meteorol Inst, Solar Terr Phys Div, DK-2100 Copenhagen, Denmark</t>
  </si>
  <si>
    <t>Arctic &amp; Antarctic Research Institute; Danish Meteorological Institute DMI</t>
  </si>
  <si>
    <t>Troshichev, OA (corresponding author), Arctic &amp; Antarctic Res Inst, Dept Geophys, 38 Bering St, St Petersburg 199397, Russia.</t>
  </si>
  <si>
    <t>olegtro@aari.nw.ru</t>
  </si>
  <si>
    <t>A11202</t>
  </si>
  <si>
    <t>10.1029/2007JA012369</t>
  </si>
  <si>
    <t>228ES</t>
  </si>
  <si>
    <t>WOS:000250710800001</t>
  </si>
  <si>
    <t>Meland, K; Brattegard, T</t>
  </si>
  <si>
    <t>Meland, Kenneth; Brattegard, Torleiv</t>
  </si>
  <si>
    <t>New Mysida (Crustacea) in the genera Amblyops and Pseudomma from the Iceland Basin</t>
  </si>
  <si>
    <t>ZOOTAXA</t>
  </si>
  <si>
    <t>Mysida; deep sea; taxonomy; Antarctic; North Atlantic</t>
  </si>
  <si>
    <t>Five species of Erythropinae are described from the Iceland Basin. Amblyops trisetosa and A. spinifera are shown to have extended their species range from the Bay of Biscay to Iceland. Pseudomma maasaki and P. islandicum are described as new species. A full description of P. antarcticum, previously reported only from Antarctic waters, is presented, including a first description of the male pleopods. The extended northward distribution of the previously described species coupled with P. islandicum bearing close resemblance to Antarctic Pseudomma species indicates the absence of dispersal barriers for bottom-living mysids in the Atlantic deep sea east of the mid-Atlantic Ridge.</t>
  </si>
  <si>
    <t>Univ Bergen, Dept Biol, N-5020 Bergen, Norway</t>
  </si>
  <si>
    <t>Meland, K (corresponding author), Univ Bergen, Dept Biol, POB 7800, N-5020 Bergen, Norway.</t>
  </si>
  <si>
    <t>kenneth.meland@bio.uib.no; torleiv.brattegard@bio.uib.no</t>
  </si>
  <si>
    <t>PO BOX 41383, AUCKLAND, ST LUKES 1030, NEW ZEALAND</t>
  </si>
  <si>
    <t>1175-5326</t>
  </si>
  <si>
    <t>1175-5334</t>
  </si>
  <si>
    <t>Zootaxa</t>
  </si>
  <si>
    <t>NOV 2</t>
  </si>
  <si>
    <t>10.11646/zootaxa.1628.1.3</t>
  </si>
  <si>
    <t>226PV</t>
  </si>
  <si>
    <t>WOS:000250601900003</t>
  </si>
  <si>
    <t>Crystallization and preliminary X-ray diffraction studies of tetrameric malate dehydrogenase from the novel Antarctic psychrophile Flavobacterium frigidimaris KUC-1</t>
  </si>
  <si>
    <t>ACTA CRYSTALLOGRAPHICA SECTION F-STRUCTURAL BIOLOGY COMMUNICATIONS</t>
  </si>
  <si>
    <t>AMINO-ACID-COMPOSITION; CRYSTAL-STRUCTURE; STRUCTURAL BASIS; MOLECULAR-WEIGHT; COLD ADAPTATION; PURIFICATION; BACTERIUM; ENZYMES; CITRATE; STABILITY</t>
  </si>
  <si>
    <t>Flavobacterium frigidimaris KUC-1 is a novel psychrotolerant bacterium isolated from Antarctic seawater. Malate dehydrogenase (MDH) is an essential metabolic enzyme in the citric acid cycle and has been cloned, overexpressed and purified from F. frigidimaris KUC-1. In contrast to the already known dimeric form of MDH from the psychrophile Aquaspirillium arcticum, F. frigidimaris MDH exists as a tetramer. It was crystallized at 288 K by the hanging-drop vapour-diffusion method using ammonium sulfate as the precipitating agent. The crystal diffracted to a maximum resolution of 1.80 angstrom. It contains one tetrameric molecule in the asymmetric unit.</t>
  </si>
  <si>
    <t>[Fujii, Tomomi; Soda, Kenji; Hata, Yasuo] Kyoto Univ, Inst Chem Res, Kyoto 6110011, Japan; [Oikawa, Tadao; Muraoka, Ikuo; Soda, Kenji] Kansai Univ, Fac Chem Mat &amp; Bioengn, Dept Life Sci &amp; Biotechnol, Osaka 5648680, Japan</t>
  </si>
  <si>
    <t>Hata, Y (corresponding author), Kyoto Univ, Inst Chem Res, Kyoto 6110011, Japan.</t>
  </si>
  <si>
    <t>hata@scl.kyoto-u.ac.jp</t>
  </si>
  <si>
    <t>2053-230X</t>
  </si>
  <si>
    <t>ACTA CRYSTALLOGR F</t>
  </si>
  <si>
    <t>Acta Crystallogr. F-Struct. Biol. Commun.</t>
  </si>
  <si>
    <t>NOV</t>
  </si>
  <si>
    <t>10.1107/S1744309107051524</t>
  </si>
  <si>
    <t>Biochemical Research Methods; Biochemistry &amp; Molecular Biology; Biophysics; Crystallography</t>
  </si>
  <si>
    <t>Biochemistry &amp; Molecular Biology; Biophysics; Crystallography</t>
  </si>
  <si>
    <t>243LU</t>
  </si>
  <si>
    <t>WOS:000251799400021</t>
  </si>
  <si>
    <t>Wang, HJ; Han, JP; Zhang, QY; Sun, JQ; Jiang, DB</t>
  </si>
  <si>
    <t>Wang Huijun; Han Jinping; Zhang Qingyun; Sun Jianqi; Jiang Dabang</t>
  </si>
  <si>
    <t>Brief review of some CLIVAR-related studies in China</t>
  </si>
  <si>
    <t>ADVANCES IN ATMOSPHERIC SCIENCES</t>
  </si>
  <si>
    <t>9th Scientific Assembly of the International Association of Meteorology and Atmospheric Sciences (IAMAS-2005)</t>
  </si>
  <si>
    <t>AUG 02-11, 2005</t>
  </si>
  <si>
    <t>Beijing, PEOPLES R CHINA</t>
  </si>
  <si>
    <t>CLIVAR; WCRP; intraseasonal oscillation; interannual variability; decadal variation; global warming</t>
  </si>
  <si>
    <t>ASIAN SUMMER MONSOON; WESTERN NORTH PACIFIC; WATER-VAPOR TRANSPORT; YANGTZE-RIVER VALLEY; INTERDECADAL VARIABILITY; INTERANNUAL VARIABILITY; ARCTIC OSCILLATION; ANTARCTIC OSCILLATION; SOUTHERN-HEMISPHERE; RAINY-SEASON</t>
  </si>
  <si>
    <t>The Climate Variability and Predictability (CLIVAR) program is one of the sub-programs of the World Climate Research Program (WCRP). In this paper, CLIVAR related research in China (2003-2006) is briefly reviewed, including four major components, namely, low-frequency intraseasonal oscillations, interannual variability, decadal variations in East Asia, and global warming simulations.</t>
  </si>
  <si>
    <t>Chinese Acad Sci, Inst Atmospher Phys, Beijing 100029, Peoples R China</t>
  </si>
  <si>
    <t>Chinese Academy of Sciences; Institute of Atmospheric Physics, CAS</t>
  </si>
  <si>
    <t>Wang, HJ (corresponding author), Chinese Acad Sci, Inst Atmospher Phys, Beijing 100029, Peoples R China.</t>
  </si>
  <si>
    <t>wanghj@mail.iap.ac.cn</t>
  </si>
  <si>
    <t>Sun, Jianqi/A-7084-2016; Jiang, Dabang/I-2243-2014</t>
  </si>
  <si>
    <t>0256-1530</t>
  </si>
  <si>
    <t>1861-9533</t>
  </si>
  <si>
    <t>ADV ATMOS SCI</t>
  </si>
  <si>
    <t>Adv. Atmos. Sci.</t>
  </si>
  <si>
    <t>10.1007/s00376-007-1037-2</t>
  </si>
  <si>
    <t>233BI</t>
  </si>
  <si>
    <t>WOS:000251065000007</t>
  </si>
  <si>
    <t>Kasieczka-Burnecka, M; Kuc, K; Kalinowska, H; Knap, M; Turkiewicz, M</t>
  </si>
  <si>
    <t>Kasieczka-Burnecka, Monika; Kuc, Karina; Kalinowska, Halina; Knap, Monika; Turkiewicz, Marianna</t>
  </si>
  <si>
    <t>Purification and characterization of two cold-adapted extracellular tannin acyl hydrolases from an Antarctic strain Verticillium sp P9</t>
  </si>
  <si>
    <t>APPLIED MICROBIOLOGY AND BIOTECHNOLOGY</t>
  </si>
  <si>
    <t>Antarctic cold-adapted extracellular tannases; Verticillium sp.</t>
  </si>
  <si>
    <t>ASPERGILLUS-NIGER; BACILLUS-LICHENIFORMIS; PAECILOMYCES-VARIOTII; DISC ELECTROPHORESIS; TANNASE PRODUCTION; PENICILLIUM; ADDITIVES; ENZYMES; ORYZAE; TEMPERATURE</t>
  </si>
  <si>
    <t>Two extracellular tannin acyl hydrolases (TAH I and TAH II) produced by an Antarctic filamentous fungus Verticillium sp. P9 were purified to homogeneity (7.9- and 10.5-fold with a yield of 1.6 and 0.9%, respectively) and characterized. TAH I and TAH II are multimeric (each consisting of approximately 40 and 46 kDa sub-units) glycoproteins containing 11 and 26% carbohydrates, respectively, and their molecular mass is approximately 155 kDa. TAH I and TAH II are optimally active at pH of 5.5 and 25 and 20 degrees C, respectively. Both the enzymes were activated by Mg2+ and Br- ions and 0.5-2.0 M urea and inhibited by other metal ions (Zn2+, Cu2+, K+, Cd2+, Ag+, Fe3+, Mn2+, Co2+, Hg2+, Pb2+ and Sn2+ ), CO32- anions, Tween 20, Tween 60, Tween 80, Triton X-100, sodium dodecyl sulphate, beta-mercaptoethanol, alpha-glutathione and 4-chloromercuribenzoate. Both tannases more efficiently hydrolyzed tannic acid than methyl gallate. E (a) of these reactions and temperature dependence (at 0-30 degrees C) of k(cat), k(cat)/K-m, Delta G*, Delta H* and Delta S* for both the enzymes and substrates were determined. The k(cat) and k(cat)/K-m values (for both the substrates) were considerably higher for the combined preparation of TAH I and TAH II.</t>
  </si>
  <si>
    <t>Tech Univ Lodz, Inst Tech Biochem, PL-90924 Lodz, Poland</t>
  </si>
  <si>
    <t>Lodz University of Technology</t>
  </si>
  <si>
    <t>Kasieczka-Burnecka, M (corresponding author), Tech Univ Lodz, Inst Tech Biochem, Stefanoeskiego 4-10, PL-90924 Lodz, Poland.</t>
  </si>
  <si>
    <t>mkasieczka@poczta.onet.pl</t>
  </si>
  <si>
    <t>Kalinowska, Halina/0000-0001-8902-0005</t>
  </si>
  <si>
    <t>0175-7598</t>
  </si>
  <si>
    <t>1432-0614</t>
  </si>
  <si>
    <t>APPL MICROBIOL BIOT</t>
  </si>
  <si>
    <t>Appl. Microbiol. Biotechnol.</t>
  </si>
  <si>
    <t>10.1007/s00253-007-1124-4</t>
  </si>
  <si>
    <t>219VB</t>
  </si>
  <si>
    <t>WOS:000250115200009</t>
  </si>
  <si>
    <t>Munroe, JS; Laabs, BJC; Moser, KA; Gurrieri, JT</t>
  </si>
  <si>
    <t>Munroe, Jeffrey S.; Laabs, Benjamin J. C.; Moser, Katrina A.; Gurrieri, Joseph T.</t>
  </si>
  <si>
    <t>UINTAS 2006: the Uinta Interdisciplinary Assessment Symposium, Snowbird, Utah, May 2006 - Introduction</t>
  </si>
  <si>
    <t>ARCTIC ANTARCTIC AND ALPINE RESEARCH</t>
  </si>
  <si>
    <t>MOUNTAINS; BASIN</t>
  </si>
  <si>
    <t>SUNY Coll Geneseo, Dept Geol Sci, Geneseo, NY 14454 USA; Middlebury Coll, Dept Geol, Middlebury, VT 05753 USA; Gustavus Adolphus Coll, Dept Geol, St Peter, MN 56082 USA; Univ Western Ontario, Dept Geog, London, ON N6A 5B8, Canada; USDA, Forest Serv, Ogden, UT 84401 USA</t>
  </si>
  <si>
    <t>State University of New York (SUNY) System; SUNY Geneseo; Gustavus Adolphus College; Western University (University of Western Ontario); United States Department of Agriculture (USDA); United States Forest Service</t>
  </si>
  <si>
    <t>Laabs, BJC (corresponding author), SUNY Coll Geneseo, Dept Geol Sci, 1 Coll Circle, Geneseo, NY 14454 USA.</t>
  </si>
  <si>
    <t>jmunroe@middlebury.edu; laabs@geneseo.edu; kmoser@uwo.ca; jgurrieri@fs.fed.us</t>
  </si>
  <si>
    <t>Moser, Katrina/0000-0001-8633-5677; Laabs, Benjamin/0000-0001-8825-2672</t>
  </si>
  <si>
    <t>INST ARCTIC ALPINE RES</t>
  </si>
  <si>
    <t>UNIV COLORADO, BOULDER, CO 80309 USA</t>
  </si>
  <si>
    <t>1523-0430</t>
  </si>
  <si>
    <t>1938-4246</t>
  </si>
  <si>
    <t>ARCT ANTARCT ALP RES</t>
  </si>
  <si>
    <t>Arct. Antarct. Alp. Res.</t>
  </si>
  <si>
    <t>10.1657/1523-0430(07-500)[MUNROE]2.0.CO;2</t>
  </si>
  <si>
    <t>Environmental Sciences; Geography, Physical</t>
  </si>
  <si>
    <t>231PW</t>
  </si>
  <si>
    <t>WOS:000250962500001</t>
  </si>
  <si>
    <t>Carson, EC</t>
  </si>
  <si>
    <t>Carson, Eric C.</t>
  </si>
  <si>
    <t>Temporal and seasonal trends in strearnflow in the uinta mountains, northeastern Utah, and relation to climatic fluctuations</t>
  </si>
  <si>
    <t>Uinta Interdisciplinary Assessment Symposium (UINTAS 2006)</t>
  </si>
  <si>
    <t>MAY, 2006</t>
  </si>
  <si>
    <t>Snowbird, UT</t>
  </si>
  <si>
    <t>STREAMFLOW</t>
  </si>
  <si>
    <t>Over the past half century there has been a trend in numerous regions of the western United States toward a declining portion of the total annual streamflow occurring during the snowmelt season (April through July). Changes in the seasonality of discharge primarily reflect a shift in the seasonal distribution of precipitation. Years with an unusually large fraction of annual streamflow occurring during the spring snowmelt coincide with winters with unusually high precipitation. Years with an unusually small fraction of annual streamflow occurring during the spring snowmelt coincide with unusually low precipitation during the winter and unusually warm temperatures during the spring. The magnitude of the peak annual flood is sensitive to amount of winter precipitation and variations in spring and early summer temperatures. Large peak annual floods occur in years with high precipitation and low temperatures in the late winter and spring, which preserve the maximum snowpack. Small peak annual floods occur in years with low precipitation throughout the winter and high temperatures in the spring. During the period of gage record, peak annual flood magnitudes exhibit temporal variability. Extreme events in the peak annual flood record, particularly years of large snowmelt floods, have increased in frequency since 1960. Large floods during this time period occur in years with atypically cool temperatures in April and May, which would likely preserve the winter snowpack through the spring.</t>
  </si>
  <si>
    <t>San Jacinto Coll, Dept Geol, Houston, TX 77049 USA</t>
  </si>
  <si>
    <t>Carson, EC (corresponding author), San Jacinto Coll, Dept Geol, 5800 Uvalde Rd, Houston, TX 77049 USA.</t>
  </si>
  <si>
    <t>eric.carson@sjcd.edu</t>
  </si>
  <si>
    <t>10.1657/1523-0430(06-072)[CARSON]2.0.CO;2</t>
  </si>
  <si>
    <t>WOS:000250962500002</t>
  </si>
  <si>
    <t>Refsnider, KA; Laabs, BJC; Mickelson, DM</t>
  </si>
  <si>
    <t>Refsnider, Kurt A.; Laabs, Benjamin J. C.; Mickelson, David M.</t>
  </si>
  <si>
    <t>Glacial geology and equilibrium line altitude reconstructions for the provo river drainage, uinta mountains, Utah, USA</t>
  </si>
  <si>
    <t>COLORADO; CLIMATE; RANGE</t>
  </si>
  <si>
    <t>The Provo River drainage in the western end of the Uinta Mountains was glaciated repeatedly during the Pleistocene, and glacial deposits from the Smiths Fork and Blacks Fork glaciations (Pinedale and Bull Lake equivalents, respectively) are well preserved throughout the area. Reconstruction of the Smiths Fork ice extent based on air photo analysis and field mapping reveals that the broad upland surfaces in the Provo River drainage were covered by an ice field from which distributary glaciers emanated. This ice field also covered parts of the Weber and Bear River drainages to the north and the North Fork Duchesne drainage to the east. Equilibrium line altitudes for glaciers in the Provo River drainage were similar to 2900 m a.s.l., consistent with previous studies which recognized a dramatic decrease in equilibrium line altitudes toward the western end of the range. End moraine sequences and hypsometric differences between glaciers in the Provo River drainage suggest that ice retreat rates likely differed considerably among the glaciers, reflecting variable dynamic responses to a similar climate forcing during deglaciation.</t>
  </si>
  <si>
    <t>Univ Wisconsin, Dept Geol &amp; Geophys, Madison, WI 53706 USA; SUNY Coll Geneseo, Dept Geol Sci, Geneseo, NY 14454 USA</t>
  </si>
  <si>
    <t>University of Wisconsin System; University of Wisconsin Madison; State University of New York (SUNY) System; SUNY Geneseo</t>
  </si>
  <si>
    <t>Refsnider, KA (corresponding author), Univ Colorado, Inst Arctic &amp; Alpine Res, 1560 30th St, Boulder, CO 80303 USA.</t>
  </si>
  <si>
    <t>kurt.refsnider@colorado.edu</t>
  </si>
  <si>
    <t>Laabs, Benjamin/0000-0001-8825-2672</t>
  </si>
  <si>
    <t>10.1657/1523-0430(06-060)[REFSNIDER]2.0.CO;2</t>
  </si>
  <si>
    <t>WOS:000250962500003</t>
  </si>
  <si>
    <t>Laabs, BJC; Munroe, JES; Rosenbaum, JG; Refsnider, KA; Mickelson, DM; Singer, BS; Caffee, MW</t>
  </si>
  <si>
    <t>Laabs, Benjamin J. C.; Munroe, Jeff Ey S.; Rosenbaum, Joseph G.; Refsnider, Kurt A.; Mickelson, David M.; Singer, Bradley S.; Caffee, Marc W.</t>
  </si>
  <si>
    <t>Chronology of the lost glacial maximum in the upper bear river basin, Utah</t>
  </si>
  <si>
    <t>LATE PLEISTOCENE GLACIATION; WESTERN US GLACIERS; UINTA MOUNTAINS; PALEOCLIMATIC IMPLICATIONS; COSMOGENIC BE-10; BONNEVILLE BASIN; CENTRAL COLORADO; LAKE BONNEVILLE; NORTH-ATLANTIC; SIERRA-NEVADA</t>
  </si>
  <si>
    <t>The headwaters of the Bear River drainage were occupied during the Last Glacial Maximum (LGM) by outlet glaciers of the Western Uinta Ice Field, an extensive ice mass (similar to 685 km(2)) that covered the western slope of the Uinta Mountains. A well-preserved sequence of latero-frontal moraines in the drainage indicates that outlet glaciers advanced beyond the mountain front and coalesced on the piedmont. Glacial deposits in the Bear River drainage provide a unique setting where both Be-10 C-14 dating of sediment cosmogenic surface-expo sure dating of moraine boulders and in Bear Lake downstream of the glaciated area set age limits on the timing of glaciation. Limiting C-14 ages of glacial flour in Bear Lake (corrected to calendar years using CALIB 5.0) indicate that ice advance began at 32 ka and culminated at about 24 ka. Based on a Bayesian statistical analysis of cosmogenic surface-expo sure ages from two areas on the terminal moraine complex, the Bear River glacier began approximately coincident with the start of its final retreat at about 18.7 to 18.1 ka, deglaciation elsewhere in the central Rocky Mountains and many other alpine glacial localities worldwide. Unlike valleys of the southwestern Uinta Mountains, deglaciation of the Bear River drainage began prior to the hydrologic fall of Lake Bonneville from the Provo shoreline at about 16 ka.</t>
  </si>
  <si>
    <t>Gustavus Adolphus Coll, Dept Geol, St Peter, MN 56082 USA; Middlebury Coll, Dept Geol, Middlebury, VT 05753 USA; US Geol Survey, Lakewood, CO 80225 USA; Univ Colorado, Inst Arctic &amp; Alpine Res, Boulder, CO 80304 USA; Univ Wisconsin, Dept Geol &amp; Geophys, Madison, WI 53706 USA; Purdue Univ, Dept Phys, W Lafayette, IN 47907 USA</t>
  </si>
  <si>
    <t>Gustavus Adolphus College; United States Department of the Interior; United States Geological Survey; University of Colorado System; University of Colorado Boulder; University of Wisconsin System; University of Wisconsin Madison; Purdue University System; Purdue University</t>
  </si>
  <si>
    <t>laabs@geneseo.edu</t>
  </si>
  <si>
    <t>Singer, Brad S/HNC-4900-2023; Singer, Bradley/F-4991-2012</t>
  </si>
  <si>
    <t>Singer, Brad S/0000-0003-3595-5168; Singer, Bradley/0000-0003-3595-5168; Laabs, Benjamin/0000-0001-8825-2672</t>
  </si>
  <si>
    <t>10.1657/1523-0430(06-089)[LAABS]2.0.CO;2</t>
  </si>
  <si>
    <t>WOS:000250962500004</t>
  </si>
  <si>
    <t>MacDonald, GM; Tingstad, AH</t>
  </si>
  <si>
    <t>MacDonald, Glen M.; Tingstad, Abbie H.</t>
  </si>
  <si>
    <t>Recent and multicentennial precipitation variability variability and drought occurrence in the uinta mountains region, Utah</t>
  </si>
  <si>
    <t>OSCILLATION; PACIFIC; SNOWPACK; MONSOON; CLIMATE</t>
  </si>
  <si>
    <t>We examine instrumental meteorological records to compare recent precipitation regimes in the eastern and western Uinta Mountains region of Utah. The comparison although the summer monsoon contributes a higher proportion of demonstrates that, the two regions are significantly correlated in terms of annual precipitation in the east, the two regions are significantly correlated in terms of precipitation variations including summer precipitation. Major droughts, such as the 1930s Dustbowl event, the 1976-1977 event, and the 1987-1989 event, are largely typified by strong decreases in winter precipitation, although deficits can extend into summer. Droughts generally impact the entire region when they occur. Unlike the Southwest and the Pacific Northwest, year-to-year precipitation variability in the Uinta Mountains region does not appear correlated with the El Nino-Southern Oscillation or the Pacific Decadal Oscillation. However, severe prolonged droughts such as the 1976-1977 and 1986-1987 events are related to decreases in eastern Pacific Ocean sea surface temperatures. We extend the record of hydroclimatic variability for the Uinta Mountains by using tree-ring chronologies from Pinus edulis (two-needle pinyon) to reconstruct the summer Palmer Drought Severity Index (PDSI) back to A.D. 1405. The analysis demonstrates that extreme droughts (PDSI &lt; -4) and extended multiannual to multidecadal and periods (PDSI &lt; 0 to &lt; -2) are a recurrent feature of the Uinta hydroclimatic regime. Extreme droughts of PDSI &lt; -4 typically occur two to five times per century, with an annual probability of occurrence of similar to 4.4%. In the context of prolonged severe droughts, the 20th century enjoyed relatively moist conditions compared to the 17th, 18th, and 19th centuries. The most prominent of these earlier arid periods was an apparent 'mega-drought' between ca. A.D. 1625 and 1670 that is evident in prolonged depression of PDSI values in the Uinta Mountains region, decreased discharge of the Ashley River, and decreased precipitation in the adjacent Uinta Basin. There was a general depression of the Pacific Decadal Oscillation during this time, suggesting some linkage between conditions in the Pacific Ocean and prolonged aridity. Wavelet analysis demonstrates the presence of multidecadal variability in aridity, but the frequency and power of long-term modes of variability are inconsistent over the past 600 years.</t>
  </si>
  <si>
    <t>Univ Calif Los Angeles, Dept Geog, Los Angeles, CA 90095 USA</t>
  </si>
  <si>
    <t>University of California System; University of California Los Angeles</t>
  </si>
  <si>
    <t>MacDonald, GM (corresponding author), Univ Calif Los Angeles, Dept Geog, Los Angeles, CA 90095 USA.</t>
  </si>
  <si>
    <t>macdonal@geog.ucla.edu</t>
  </si>
  <si>
    <t>10.1657/1523-0430(06-070)[MACDONALD]2.0.CO;2</t>
  </si>
  <si>
    <t>WOS:000250962500005</t>
  </si>
  <si>
    <t>Munroe, JS</t>
  </si>
  <si>
    <t>Munroe, Jeffrey S.</t>
  </si>
  <si>
    <t>Exploring relationships between watershed properties and holocene loss-on-ignition records in high-elevation lakes, southern uinta mountains, Utah, USA</t>
  </si>
  <si>
    <t>DISSOLVED ORGANIC-CARBON; WIND-RIVER RANGE; PALEOCLIMATE; LACUSTRINE; SEDIMENTS; CLIMATE; POLLEN</t>
  </si>
  <si>
    <t>Sediment cores were retrieved from 12 lakes in the southern Uinta Mountains ranging in elevation from 2960 to 3475 m. Organic content was determined by loss-on-ignition (LOI) at 1-cm intervals (n = 2850), corresponding to 20 to similar to 100 yrs per sample. This data set was used to explore relationships between watershed variables and LOI records. Average LOI values are strongly correlated with lake elevation, elevation of the watershed, extent of late-lying snow and bare rock in the watershed, and the area of upstream lakes. Average LOI values are not significantly correlated with lake depth, or with lake or watershed area. The 12 LOI records can be visually divided into 3 groups with contrasting patterns: Steady, Trending, and Rising. Steady lakes have the lowest average LOI values, and are located in watersheds with the highest maximum elevations and the largest area of upstream lakes and late-lying snow. The most significant determinant on average LOI and LOI pattern is hydrologic through-flow as revealed by the configuration and number of inlets and outlets. The repetition of Steady, Trending, and Rising LOI patterns in different parts of the range, combined with contrasting LOI patterns in adjacent lakes, suggests that watershed characteristics strongly influence organic sedimentation.</t>
  </si>
  <si>
    <t>Middlebury Coll, Dept Geol, Middlebury, VT 05753 USA</t>
  </si>
  <si>
    <t>Munroe, JS (corresponding author), Middlebury Coll, Dept Geol, Middlebury, VT 05753 USA.</t>
  </si>
  <si>
    <t>jmunroe@middlebury.edu</t>
  </si>
  <si>
    <t>10.1657/1523-0430(06-096)[MUNROE]2.0.CO;2</t>
  </si>
  <si>
    <t>WOS:000250962500006</t>
  </si>
  <si>
    <t>Porinchu, DF; Moser, KA; Munroe, JS</t>
  </si>
  <si>
    <t>Porinchu, David F.; Moser, Katrina A.; Munroe, Jeffrey S.</t>
  </si>
  <si>
    <t>Development of a midge-based summer surface water temperature inference model for the great basin of the western united states</t>
  </si>
  <si>
    <t>SIERRA-NEVADA; AIR TEMPERATURES; LATE-PLEISTOCENE; CALIFORNIA; CLIMATE; RECONSTRUCTIONS; PRECIPITATION; ASSEMBLAGES; INDICATORS; PROGRESS</t>
  </si>
  <si>
    <t>Surface sediment recovered from 51 lakes in the Uinta Mountains of northeast Utah was analyzed for subfossil chironomid remains, and incorporated in a midge-based inference model for summer surface water temperature (SSWT). The lakes in the calibration set spanned elevation, depth, and summer surface water temperature ranges of 900 in, 12.7 in, and 11.3 degrees C, respectively. Redundancy analysis (RDA) identified four variables, SSWT, depth, specific conductivity, and Al concentration, that could account for a statistically significant amount of variance in the chironomid distribution, with SSWT accounting for the largest amount of variance. The Uinta Mountain calibration set was merged with a previously developed calibration set from the Sierra Nevada, California, in order to develop a midge-based inference model for SSWT applicable to subfossil chironomid stratigraphies from the Great Basin. A variety of statistical approaches, such as weighted averaging (WA), weighted averaging-partial least squares (WA-PLS), and partial least squares (PLS) were used to assess model performance. The best inference model for SSWT, based on a 3-component WA-PLS approach, had robust performance statistics (r(jack)(2) = 0.66, RMSEP = 1.4 degrees C). The newly expanded inference model will enable more accurate estimates of late Pleistocene and Holocene thermal regimes and help address many outstanding questions relating to long-term and recent climate change in this region.</t>
  </si>
  <si>
    <t>Ohio State Univ, Dept Geog, Columbus, OH 43210 USA; Univ Western Ontario, Dept Geog, London, ON N6A 5C2, Canada; Middlebury Coll, Dept Geol, Middlebury, VT 05753 USA</t>
  </si>
  <si>
    <t>University System of Ohio; Ohio State University; Western University (University of Western Ontario)</t>
  </si>
  <si>
    <t>Porinchu, DF (corresponding author), Ohio State Univ, Dept Geog, Columbus, OH 43210 USA.</t>
  </si>
  <si>
    <t>porinchu.1@osu.edu</t>
  </si>
  <si>
    <t>Porinchu, DF/S-4360-2019</t>
  </si>
  <si>
    <t>Moser, Katrina/0000-0001-8633-5677; Porinchu, David/0000-0002-0495-3082</t>
  </si>
  <si>
    <t>10.1657/1523-0430(07-033)[PORINCHU]2.0.CO;2</t>
  </si>
  <si>
    <t>WOS:000250962500007</t>
  </si>
  <si>
    <t>Properties of alpine soils associated with well-developed sorted polygons in the uinta mountains, Utah, USA</t>
  </si>
  <si>
    <t>WIND RIVER RANGE; FRONT RANGE; NITROGEN DEPOSITION; PERMAFROST; COLORADO; PEDOGENESIS; MANTLES</t>
  </si>
  <si>
    <t>Twelve profiles of alpine soils associated with well-developed, but currently inactive, sorted polygons were investigated in the Uinta Mountains of northeastern Utah. The summit upland in the Uintas does not appear to have been glaciated, and these soils are considerably older than those located in lower elevation glacial valleys. Profiles of soils from the polygon centers reveal a dark, organic-rich surface horizon developed in loamy loess overlying a series of redder, sandy B horizons locally exhibiting strongly developed platey structure and pockets of coarser sediment. Irregular and broken horizons at depth reflect extensive cryoturbation during episodes when the sorted polygons are active. Overall morphology and profile quantities of weathering products in these soils are similar to those previously reported for alpine tundra soils in the Uintas; however, the cryoturbated horizons are limited to soils in the patterned ground. A developmental model for these soils emphasizes the combined role of pedogenic processes operating during interglaciations (accumulation of organic matter and loess, translocation of silt and clay, chemical weathering) and periods of cryoturbation (distortion of horizons, redistribution of weathering products within the solum). Outstanding questions include the timing and relative duration of cryoturbation episodes, the timing of loess deposition, and the overall age of the soils.</t>
  </si>
  <si>
    <t>10.1657/1523-0430(06-077)[MUNROE]2.0.CO;2</t>
  </si>
  <si>
    <t>WOS:000250962500008</t>
  </si>
  <si>
    <t>Douglass, DC; Mickelson, DM</t>
  </si>
  <si>
    <t>Douglass, Daniel C.; Mickelson, David M.</t>
  </si>
  <si>
    <t>Soil development and glacial history, west fork of beaver creek, uinta mountains, Utah</t>
  </si>
  <si>
    <t>WIND-RIVER RANGE; BULL LAKE; SIERRA-NEVADA; ALPINE SOILS; FRONT RANGE; USA; CALIFORNIA; PINEDALE; DEPOSITS; MORAINES</t>
  </si>
  <si>
    <t>Fork, and Pre-Blacks Fork moraines in West Fork of Beaver Creek, Uinta Mountains, Utah, (equivalent to Pinedale, Bull Lake, and Pre-Bull Lake moraines of the Wind River Range, respectively) are clay translocation (argilluviation), increasing soil redness (rubification), and the accumulation of organic matter (melanization) and silt-sized particles. The quantity of clay-sized particles and degree of soil redness increase with soil age, but clay accumulation may plateau in the oldest soils. In contrast, the quantity of accumulated organic matter and abundance of silt-sized particles do not appear to correlate to soil age. The Smiths Fork moraine, interpreted to be MIS-2 in age, has two crests that have distinctly different amounts of clast weathering and soil development. The outer Smiths Fork crest displays weathering that is more comparable to that of the Blacks Fork moraine than to the inner Smiths Fork crest. This weathering contrast is related to an age difference between the two crests, but a precise chronology of the Smiths Fork moraines cannot be determined from these data.</t>
  </si>
  <si>
    <t>Univ Wisconsin, Dept Geol &amp; Geophys, Madison, WI 53706 USA</t>
  </si>
  <si>
    <t>Douglass, DC (corresponding author), Northeastern Univ, Dept Earth &amp; Environm Sci, 360 Huntington Ave, Boston, MA 02115 USA.</t>
  </si>
  <si>
    <t>d.douglass@neu.edu</t>
  </si>
  <si>
    <t>10.1657/1523-0430(06-093)[DOUGLASS]2.0.CO;2</t>
  </si>
  <si>
    <t>WOS:000250962500009</t>
  </si>
  <si>
    <t>Clair, LLS; Johansen, JR; Clair, SBS; Knight, KB</t>
  </si>
  <si>
    <t>Clair, Larry L. St.; Johansen, Jeffery R.; Clair, Samuel B. St.; Knight, Kathryn B.</t>
  </si>
  <si>
    <t>The influence of grazing and other environmental factors on lichen community structure along an alpine tundra ridge in the uinta mountains, Utah, USA</t>
  </si>
  <si>
    <t>CRUSTS; IMPACT</t>
  </si>
  <si>
    <t>This study examined the influence of snowmelt, vascular plants, grazing, substrates, and soil characteristics on the distribution of lichen communities along an alpine tundra ridge in the Uinta Mountains of Utah. Percent cover of lichens, rocks, snow, and vascular plants were estimated at 18 study sites along an altitudinal transect. Vascular plant cover and species diversity were greatest at the lower elevation sites, and differences in plant communities were related to differences in rock cover and grazing. Lichens showed a similar trend, with rock cover, grazing, vascular plants, and timing of snowmelt all defining community structure. We hypothesize that domestic sheep have dispersed fragments of two lichen species from western Wyoming to grazed sites along the study transect. Generally, terricolous and epiphytic lichens differed between the lower and upper sites in species composition and growth-form distribution. Distribution of lichen growth forms was positively correlated with increasing rock cover. Late snowmelt areas were also distinguished by a defined group of lichens.</t>
  </si>
  <si>
    <t>Brigham Young Univ, Bean Life Sci Mus, Provo, UT 84602 USA; Brigham Young Univ, Dept Biol, Provo, UT 84602 USA; John Carroll Univ, Dept Biol, Cleveland, OH 44118 USA; Brigham Young Univ, Dept Plant &amp; Wildlife Sci, Provo, UT 84602 USA</t>
  </si>
  <si>
    <t>Brigham Young University; Brigham Young University; University System of Ohio; John Carroll University; Brigham Young University</t>
  </si>
  <si>
    <t>Clair, LLS (corresponding author), Brigham Young Univ, Bean Life Sci Mus, Provo, UT 84602 USA.</t>
  </si>
  <si>
    <t>larry-stclair@byu.edu</t>
  </si>
  <si>
    <t>St.Clair, Sam/GZA-4592-2022; Johansen, Jeffrey/F-5616-2011</t>
  </si>
  <si>
    <t>Johansen, Jeffrey/0000-0002-0794-9417</t>
  </si>
  <si>
    <t>WOS:000250962500010</t>
  </si>
  <si>
    <t>Shaw, JD; Long, JN</t>
  </si>
  <si>
    <t>Shaw, John D.; Long, James N.</t>
  </si>
  <si>
    <t>Forest ecology and biogeography of the uinta mountains, USA</t>
  </si>
  <si>
    <t>WIND RIVER MOUNTAINS; FUTURE CLIMATE; FIRE HISTORY; VEGETATION; ECOSYSTEMS; INVENTORY; REGION</t>
  </si>
  <si>
    <t>The Uinta Mountains form a crossroads of forests and woodlands in the central Rocky Mountains. Although no tree species is endemic to the area, all species characteristic of the central Rocky Mountains are found there, and the ranges of several other species terminate in the Uinta Mountains and the surrounding area. The peninsula-like shape, east-west orientation, and complex terrain of the range create a wide variety of potential forest sites that contrast with other ranges in the central Rockies. As a result, the Uinta Mountains are home to sites of unexpectedly high tree species diversity. Throughout most of the range, vegetation is organized in predictable zones that are characteristic of the Intermountain West; the range exhibits excellent vegetation zonation. However, across much of the northern slope several important species are absent, resulting in unexpectedly low diversity and missing vegetation zones. In this paper we provide an overview of the forest ecology and biogeography of the Uinta Mountains and update the local model for vegetation zonation. We also consider some possible explanations for the unexpected vegetation patterns and identify opportunities for future research.</t>
  </si>
  <si>
    <t>USDA, Forest Serv, Rocky Mt Res Stn, Ogden, UT 84401 USA; Utah State Univ, Dept Wildland Resources, Ctr Ecol, Logan, UT 84322 USA</t>
  </si>
  <si>
    <t>United States Department of Agriculture (USDA); United States Forest Service; Utah System of Higher Education; Utah State University</t>
  </si>
  <si>
    <t>Shaw, JD (corresponding author), USDA, Forest Serv, Rocky Mt Res Stn, 507 25th St, Ogden, UT 84401 USA.</t>
  </si>
  <si>
    <t>jdshaw@fs.fed.us; james.long@usu.edu</t>
  </si>
  <si>
    <t>10.1657/1523-0430(06-046)[SHAW]2.0.CO;2</t>
  </si>
  <si>
    <t>WOS:000250962500011</t>
  </si>
  <si>
    <t>Special section on the qinghai-tibetan plateau</t>
  </si>
  <si>
    <t>WOS:000250962500012</t>
  </si>
  <si>
    <t>Zhang, T</t>
  </si>
  <si>
    <t>Zhang, Tingiun</t>
  </si>
  <si>
    <t>Perspectives on environmental study of response to climatic and land Cover/Land use change over the qinghai-tibetan plateau: an introduction</t>
  </si>
  <si>
    <t>4th International Symposium on Tibetan Plateau</t>
  </si>
  <si>
    <t>AUG 04-06, 2004</t>
  </si>
  <si>
    <t>Lhasa, PEOPLES R CHINA</t>
  </si>
  <si>
    <t>CHINA; IMPACT</t>
  </si>
  <si>
    <t>Chinese Acad Med Sci, China Meteorol Adm, Beijing 100037, Peoples R China</t>
  </si>
  <si>
    <t>China Meteorological Administration; Chinese Academy of Medical Sciences - Peking Union Medical College</t>
  </si>
  <si>
    <t>Zhang, T (corresponding author), Univ Colorado, Cooperat Inst Res Environm Sci, Natl Snow &amp; Ice Data Ctr, Boulder, CO 80309 USA.</t>
  </si>
  <si>
    <t>tzhang@tisidc.org</t>
  </si>
  <si>
    <t>ZHANG, Tingjun/0000-0001-6974-9501</t>
  </si>
  <si>
    <t>10.1657/1523-0430(07-513)[ZHANG]2.0.CO;2</t>
  </si>
  <si>
    <t>WOS:000250962500013</t>
  </si>
  <si>
    <t>Chu, D; Lu, L; Zhang, T</t>
  </si>
  <si>
    <t>Chu, Duo; Lu, Lixin; Zhang, Tingiun</t>
  </si>
  <si>
    <t>Sensitivity of normalized difference vegetation index (NDVI) to seasonal and interannual climate conditions in the Lhasa area, Tibetan plateau, China</t>
  </si>
  <si>
    <t>AVHRR DATA; RAINFALL; IMAGES; SAHEL</t>
  </si>
  <si>
    <t>The Normalized Difference Vegetation Index (NDVI) derived from NOAA AVHRR Global Vegetation Index (GVI) for Lhasa area in the central Tibetan Plateau from 1985 to 1999 and its relationship with climate conditions (precipitation and temperature) are established in this study. Climate data from the Lhasa meteorological station provided by the Tibet Climate Data Center are used for this analysis. The NDVI-derived vegetation growth patterns show very strong seasonal cycles and interannual variations. The growing season length varies between years. The correlation between NDVI and precipitation (r = 0.75, P &lt; 0.01) in Lhasa area is higher than the correlation between NDVI and temperature (r = 0.63, P &lt; 0.01), suggesting that NDVI is more sensitive to precipitation than temperature ill this semiarid climate zone. Furthermore, the time series of NDVI demonstrate a positive trend from 1985 to 1999, which means that the vegetation biomass present on land surface is increasing. This trend is strongly correlated to increased rainfall and temperature from mid-1980s to 1990s in the Lhasa area of the Tibetan Plateau.</t>
  </si>
  <si>
    <t>Univ Colorado, Natl Snow &amp; Ice Data Ctr, Cooperat Inst Res Environm Sci, Boulder, CO 80309 USA; Chinese Acad Meteorol Sci, China Meteorol Adm, Beijing 800081, Peoples R China; Tibet Inst Plateau Atmospher &amp; Environm Sci, Lhasa, Peoples R China; Colorado State Univ, Dept Atmospher Sci, Ft Collins, CO 80523 USA; Univ Colorado, Cooperat Inst Res Environm Sci, Boulder, CO 80309 USA</t>
  </si>
  <si>
    <t>University of Colorado System; University of Colorado Boulder; China Meteorological Administration; Chinese Academy of Meteorological Sciences (CAMS); Colorado State University; University of Colorado System; University of Colorado Boulder</t>
  </si>
  <si>
    <t>Chu, D (corresponding author), Univ Colorado, Natl Snow &amp; Ice Data Ctr, Cooperat Inst Res Environm Sci, Boulder, CO 80309 USA.</t>
  </si>
  <si>
    <t>chu_d22@hotmail.com; tzhaiig@nsidc.org</t>
  </si>
  <si>
    <t>10.1657/1523-0430(07-501)[CHU]2.0.CO;2</t>
  </si>
  <si>
    <t>WOS:000250962500014</t>
  </si>
  <si>
    <t>Yao, T; Pu, J; Lu, A; Wang, Y; Yu, W</t>
  </si>
  <si>
    <t>Yao, Tandong; Pu, Jianchen; Lu, Anxin; Wang, Youqing; Yu, Wusheng</t>
  </si>
  <si>
    <t>Recent glacial retreat and its impact on hydrological processes on the tibetan plateau, China, and sorrounding regions</t>
  </si>
  <si>
    <t>TEMPERATURE; RUNOFF</t>
  </si>
  <si>
    <t>Glacial retreat on the Tibetan Plateau and surrounding regions is characteristic since the 1960s and has intensified in the past 10 yr. The magnitude of glacial retreat is relatively small in the interior of the Tibetan Plateau and increases to the margins of the plateau, with the greatest retreat around the edges. Glacial retreat in this region is impacting the hydrological processes in the Tibetan Plateau and surrounding regions. The glacial retreat has caused an increase of more than 5.5% in river runoff from the plateau. In some areas, such as the Tarim River basin, the increase in river runoff is greater. Glacial retreat has also caused rising lake levels in the areas with large coverage of glaciers, such as the Nam Co Lake and Selin Co Lake areas. Rising lake levels are devastating grasslands and villages near the lakes.</t>
  </si>
  <si>
    <t>Chinese Acad Sci, Inst Tibetan Plateau Res, Beijing 100029, Peoples R China; Chinese Acad Sci, Key Lab Cryosphere &amp; Environm, Lanzhou 730000, Peoples R China</t>
  </si>
  <si>
    <t>Chinese Academy of Sciences; Institute of Tibetan Plateau Research, CAS; Chinese Academy of Sciences</t>
  </si>
  <si>
    <t>Yao, T (corresponding author), Chinese Acad Sci, Inst Tibetan Plateau Res, Beijing 100029, Peoples R China.</t>
  </si>
  <si>
    <t>tdyao@itpcas.ac.cn</t>
  </si>
  <si>
    <t>Yu, Wusheng/P-1123-2015</t>
  </si>
  <si>
    <t>Yu, Wusheng/0000-0002-3089-0820</t>
  </si>
  <si>
    <t>10.1657/1523-0430(07-510)[YAO]2.0.CO;2</t>
  </si>
  <si>
    <t>WOS:000250962500015</t>
  </si>
  <si>
    <t>Liu, X; Shao, X; Zhao, L; Qin, D; Chen, T; Ren, J</t>
  </si>
  <si>
    <t>Liu, Xiaohong; Shao, Xuemei; Zhao, Liangiu; Qin, Dahe; Chen, Tuo; Ren, Jiawen</t>
  </si>
  <si>
    <t>Dendroclimatic temperature record derived from tree-ring width and stable carbon isotope chronologies in the middle qilian mountains, China</t>
  </si>
  <si>
    <t>VARIABILITY; DELTA-C-13; CELLULOSE; RATIOS</t>
  </si>
  <si>
    <t>Using long-lived Qilian juniper (Sabina przewalskii Kom.) in the middle Qilian Mountains, the temperature variations in the last 1000 yr were reconstructed. We find that the annual growth ring width and delta C-13 series mainly reflect variations in regional temperature. Except in May, warmer temperatures indicate greater growth over the period from December to April, and delta C-13 values in tree-rings are higher for years with higher temperature. The notable features in the temperature reconstruction are the occurrence of the Little Ice Age from A.D. 1600 to 1880 and the abrupt warming over the end of past millennia. The comparison of our chronology to a Northern Hemispheric temperature proxy shows that our tree-ring data will facilitate intercontinental differentiation of large-scale synoptic climate variability.</t>
  </si>
  <si>
    <t>Chinese Acad Sci, State Key Lab Cryospher Sci, Cold &amp; Arid Reg Environm &amp; Engn Res Inst, Lanzhou 730000, Peoples R China; Chinese Acad Sci, Inst Geog Sci, Beijing 100101, Peoples R China; Chinese Acad Sci, Inst Tibetan Plateau Res, Beijing 100029, Peoples R China; Chinese Acad Sci, Lab Watershed Hydrol &amp; Ecol, Cold &amp; Arid Reg Environm &amp; Engn Res Inst, Lanzhou 730000, Peoples R China</t>
  </si>
  <si>
    <t>Chinese Academy of Sciences; Cold &amp; Arid Regions Environmental &amp; Engineering Research Institute, CAS; Chinese Academy of Sciences; Chinese Academy of Sciences; Institute of Tibetan Plateau Research, CAS; Chinese Academy of Sciences; Cold &amp; Arid Regions Environmental &amp; Engineering Research Institute, CAS</t>
  </si>
  <si>
    <t>Liu, X (corresponding author), Chinese Acad Sci, State Key Lab Cryospher Sci, Cold &amp; Arid Reg Environm &amp; Engn Res Inst, Lanzhou 730000, Peoples R China.</t>
  </si>
  <si>
    <t>liuxh@lzb.ac.cn</t>
  </si>
  <si>
    <t>Liu, Xiaohong/D-1802-2015</t>
  </si>
  <si>
    <t>Liu, Xiaohong/0000-0002-1497-6122</t>
  </si>
  <si>
    <t>10.1657/1523-0430(07-506)[LIU-X]2.0.CO;2</t>
  </si>
  <si>
    <t>WOS:000250962500016</t>
  </si>
  <si>
    <t>Zhu, L; Lin, X; Li, Y; Li, B; Xie, M</t>
  </si>
  <si>
    <t>Zhu, Liping; Lin, Xiao; Li, Yuanfang; Li, Bingyuan; Xie, Manping</t>
  </si>
  <si>
    <t>Ostracoda assemblages in core Sediments and their environmental significance in a small lake in northwest tibet, China</t>
  </si>
  <si>
    <t>CS-137</t>
  </si>
  <si>
    <t>A 107-cm-long lake core was drilled in South Hongshan Lake (35 degrees 10'N, 80 degrees 04'E, 5060 m a.s.l.) shows 150 yr of environmental change as inferred from ostracoda assemblages. Four species of ostracoda, which belong to four genera, have been identified. The ostracoda distribution in the core can be divided into six ostracoda assemblages as follows: OA1 - Ilyocypris biplicata-Limnocythere inopinata assemblage; OA2 - Limnocythere inopinata-Leucocythere mirabilis assemblage; OA3 - Leucocy there mirabilis-Limnocythere inopinata assemblage, in which dominant species is Limnocythere inopinata; OA4 - Nearly ostracoda free; OA5 - Eucypris inflata-Limnocythere inopinata assemblage; and OA6 - Limnocythere inopinata changes from dominant to sole species. These ostracoda assemblages, together with other proxies, imply the following environmental sequence for the past 150 yr in the study area. Shallow moving water appears in A.D. 1850-1884, followed by a warm-humid climate in 1884-1922. Lake level decreased and water temperature supported maximum ostracoda growth in 19221946, followed by cooling conditions in 1946-1960. From 1960 to 1980, declining lake level is closely linked with local precipitation. The period since 1982 is characterized by less precipitation and continuous aridity under warming climatic conditions.</t>
  </si>
  <si>
    <t>Chinese Acad Sci, Inst Tibetan Plateau, Beijing 100085, Peoples R China; Chinese Acad Sci, Grad Sch, Beijing 100049, Peoples R China; Chinese Acad Sci, Inst Geog Sci &amp; Nat Resources Res, Beijing 100101, Peoples R China</t>
  </si>
  <si>
    <t>Chinese Academy of Sciences; Institute of Tibetan Plateau Research, CAS; Chinese Academy of Sciences; University of Chinese Academy of Sciences, CAS; Chinese Academy of Sciences; Institute of Geographic Sciences &amp; Natural Resources Research, CAS</t>
  </si>
  <si>
    <t>Zhu, L (corresponding author), Chinese Acad Sci, Inst Tibetan Plateau, Beijing 100085, Peoples R China.</t>
  </si>
  <si>
    <t>lpzhu@itpcas.ac.cn</t>
  </si>
  <si>
    <t>Zhu, Liping/AAC-4284-2022</t>
  </si>
  <si>
    <t>10.1657/1523-0430(07-512)[ZHU]2.0.CO;2</t>
  </si>
  <si>
    <t>WOS:000250962500017</t>
  </si>
  <si>
    <t>Kang, S; Qin, D; Ren, J; Zhang, Y; Kaspari, S; Mayewski, PA; Hou, S</t>
  </si>
  <si>
    <t>Kang, Shichang; Qin, Dahe; Ren, Jiawen; Zhang, Yongiun; Kaspari, Susan; Mayewski, Paul A.; Hou, Shugui</t>
  </si>
  <si>
    <t>Annual accumulation in the Mt. nyainqentanglha ice core, southern Tibetan plateau, China: Relationships to atmospheric circulation over Asia</t>
  </si>
  <si>
    <t>CENTRAL HIMALAYA; DASUOPU GLACIER; MONSOON; RECORDS; TEMPERATURE; PRECIPITATION; REANALYSIS; HEMISPHERE; EVEREST; INDIA</t>
  </si>
  <si>
    <t>Annual accumulation records covering the period A.D. 1952-1998 were reconstructed using a 29.5-mice core from the col of the Lanong Glacier (5850 in a.s.l.) on the eastern saddle of Mt. Nyainqentanglha, southern Tibetan Plateau. Using NCEP/ NCAR Reanalysis data, we explore the relationships between this ice-core accumulation record and primary components of the climate system. Linear correlation analysis between annual accumulation and climate components for the 47-yr overlap period indicates that annual accumulation variations are closely correlated with sea-surface and 500-mb air temperature over the North Indian Ocean and atmospheric circulation (surface pressure and geopotential height) over Asia (r &gt; 0.34, P &lt; 0.01). An intensification of atmospheric circulation and increase of sea-surface and air temperatures, resulting in intensified moisture availability and moisture transport, have been a major cause for the increase of ice-core accumulation over the Mt. Nyainquentanglha region since the 1980s.</t>
  </si>
  <si>
    <t>Chinese Acad Sci, State Key Lab Cryospher Sci, Lanzhou 730000, Peoples R China; Chinese Acad Sci, Inst Tibetan Plateau Res, Beijing 100085, Peoples R China; Univ Maine, Dept Earth Sci, Climate Change Inst, Orono, ME 04469 USA</t>
  </si>
  <si>
    <t>Chinese Academy of Sciences; Chinese Academy of Sciences; Institute of Tibetan Plateau Research, CAS; University of Maine System; University of Maine Orono</t>
  </si>
  <si>
    <t>Kang, S (corresponding author), Chinese Acad Sci, State Key Lab Cryospher Sci, Lanzhou 730000, Peoples R China.</t>
  </si>
  <si>
    <t>shichang.kang@itpcas.ac.cn</t>
  </si>
  <si>
    <t>Mayewski, Paul Andrew/HRD-6969-2023; Kang, Shichang/I-6830-2018</t>
  </si>
  <si>
    <t>Hou, Shugui/0000-0002-0905-3542; Kang, Shichang/0000-0003-2115-9005</t>
  </si>
  <si>
    <t>Directorate For Geosciences; Div Atmospheric &amp; Geospace Sciences [0754644] Funding Source: National Science Foundation</t>
  </si>
  <si>
    <t>Directorate For Geosciences; Div Atmospheric &amp; Geospace Sciences(National Science Foundation (NSF)NSF - Directorate for Geosciences (GEO))</t>
  </si>
  <si>
    <t>10.1657/1523-0430(07503)[KANG]2.0.CO;2</t>
  </si>
  <si>
    <t>WOS:000250962500018</t>
  </si>
  <si>
    <t>Wang, N; Jiang, X; Thompson, LG; Davis, ME</t>
  </si>
  <si>
    <t>Wang, Ninglian; Jiang, Xi; Thompson, Lonnie G.; Davis, Mary E.</t>
  </si>
  <si>
    <t>Accumulation rates over the past 500 years recorded in ice cores from the northern and southern Tibetan plateau, China</t>
  </si>
  <si>
    <t>GLACIER MASS-BALANCE; ATLANTIC OSCILLATION; PRECIPITATION FIELDS; ASIAN MONSOON; TEMPERATURE; SUBLIMATION; CYCLE; SIGNAL; ENSO; FLOW</t>
  </si>
  <si>
    <t>Based on the Guliya, Dunde, and Dasuopu ice cores and direct observations, we investigated the spatial and temporal variations in precipitation on the Tibetan Plateau over the past 500 yr. The variations in accumulation rates showed significant periodicities of 12.7, 7.6, 6.2, 5.4, 4.4, and 2.1 yr in the Guliya ice core, 9.5, 6.8, 5.7, and 2.1 yr in the Dunde ice core, and 12.3, 7.5, 6.3, 5.3, and 2.4 yr in the Dasuopu ice core. The periodicities displayed in these three ice core records are similar and correspond to the periodicities of the Quasi-Biennial Oscillation, the Southern Oscillation, the North Atlantic Oscillation, and the sunspot cycle. However, the accumulation rate from the Guliya and Dunde ice cores exhibited a generally decreasing trend, while the records from the Dasuopu ice core show a generally increasing trend over the entire period of interest. Our study also indicates that there is a strong negative correlation between the accumulation rates in the ice cores from the northern and southern Tibetan Plateau, especially on climatological (multidecadal or longer) time-scales. Modern meteorological observation data suggest that a dividing line between the northern and southern Tibetan Plateau with respect to variations in precipitation is located at similar to 32-33 degrees N. This dividing line coincides with other atmospheric, geographical, geological, and geophysical discontinuities. This suggests that interactions among these phenomena might help to understand the spatial patterns of climate over the Tibetan Plateau.</t>
  </si>
  <si>
    <t>Chinese Acad Sci, Key Lab Cryosphere &amp; Environm, Cold &amp; Arid Reg Environm &amp; Engn Res Inst, Lanzhou 730000, Peoples R China; Chinese Acad Sci, Inst Tibetan Plateau Res, Beijing 100085, Peoples R China; Ohio State Univ, Byrd Polar Res Ctr, Columbus, OH 43210 USA</t>
  </si>
  <si>
    <t>Chinese Academy of Sciences; Cold &amp; Arid Regions Environmental &amp; Engineering Research Institute, CAS; Chinese Academy of Sciences; Institute of Tibetan Plateau Research, CAS; University System of Ohio; Ohio State University</t>
  </si>
  <si>
    <t>Wang, N (corresponding author), Chinese Acad Sci, Key Lab Cryosphere &amp; Environm, Cold &amp; Arid Reg Environm &amp; Engn Res Inst, 320 Donggang W Rd, Lanzhou 730000, Peoples R China.</t>
  </si>
  <si>
    <t>nlwang@lzb.ac.cn</t>
  </si>
  <si>
    <t>10.1657/1523-0430(07-507)[WANG]2.0.CO;2</t>
  </si>
  <si>
    <t>WOS:000250962500019</t>
  </si>
  <si>
    <t>Liu, G; Li, M; An, L</t>
  </si>
  <si>
    <t>Liu, Guangxiu; Li, Ming; An, Lizhe</t>
  </si>
  <si>
    <t>The environmental significance of stable carbon isotope composition of modern plant leaves in the northern Tibetan plateau, China</t>
  </si>
  <si>
    <t>DISCRIMINATION; MOUNTAINS</t>
  </si>
  <si>
    <t>Foliar delta C-13 values measured in 101 samples from 13 sites in northern Tibet averaged amplitude -26.9%, and were higher than those of other mountain regions in the world. C-4 plants were found at 4161 in, higher than C-4 species have been found before. The foliar delta C-13 values increased with altitude; however, the amplitude of increase was dependent on species. Furthermore, significantly higher delta C-13 values were found in plants grown in the southern than the northern Tanggula Mountains, a difference ascribed to precipitation.</t>
  </si>
  <si>
    <t>Chinese Acad Sci, Key Lab Desert &amp; Desertificat, Cold &amp; Arid Reg Environm &amp; Engn Res Inst, Lanzhou 730000, Peoples R China; Lanzhou Univ, Sch Life Sci, Lanzhou 730000, Peoples R China</t>
  </si>
  <si>
    <t>Chinese Academy of Sciences; Cold &amp; Arid Regions Environmental &amp; Engineering Research Institute, CAS; Lanzhou University</t>
  </si>
  <si>
    <t>An, L (corresponding author), Chinese Acad Sci, Key Lab Desert &amp; Desertificat, Cold &amp; Arid Reg Environm &amp; Engn Res Inst, Lanzhou 730000, Peoples R China.</t>
  </si>
  <si>
    <t>lizhean@lzu.edu.cn</t>
  </si>
  <si>
    <t>10.1657/1523-0430(07-505)[LIU-G]2.0.CO;2</t>
  </si>
  <si>
    <t>WOS:000250962500020</t>
  </si>
  <si>
    <t>Wu, Q; Dong, X; Liu, Y; Jin, H</t>
  </si>
  <si>
    <t>Wu, Qingbai; Dong, Xianfu; Liu, Yongzhi; Jin, Hujun</t>
  </si>
  <si>
    <t>Responses of permafrost an the qinghai-tibet plateau, China, to climate change and engineering construction</t>
  </si>
  <si>
    <t>Monitoring of permafrost along the Qinghai-Tibet (Xizang) Highway shows that there is a large difference in the response of permafrost to climate change and to engineering construction. The change in cold (&lt; - 1.5 degrees C) permafrost is greater than that in warm (&gt;= - 1.5 degrees C) permafrost under the effect of climate change, while the cold permafrost is less sensitive to the disturbances from engineering activities. However, warm permafrost is very sensitive to both climate warming and the impacts from engineering construction. This is because engineering construction has more immediate and direct impacts on the thermal and moisture regimes of underlying permafrost, and consequently greater influence than climate change during the first few years after engineering construction. Assuming constant annual rates of warming, the surface of cold permafrost would approach the warming due to engineering construction in 50 yr, while it would take about 20 yr in areas with warm permafrost. At a depth of 6 m, the temperature rise under engineered surfaces would be reached within 20 and 5-8 yr in cold and warm permafrost, respectively. Therefore, the warming immediately following disturbances of engineering construction would occur naturally in a few years under warm permafrost, but it would take decades for cold permafrost to have the similar thermal effects. Therefore, climate change will have more direct and immediate impacts on the thermal regime of warm permafrost and on the stability and reliability of engineering infrastructures above warm permafrost.</t>
  </si>
  <si>
    <t>Chinese Acad Sci, State Key Lab Frozen Soil Engn, Cold &amp; Arid Reg Environm &amp; Engn Inst, Lanzhou 730000, Peoples R China</t>
  </si>
  <si>
    <t>Chinese Academy of Sciences; Cold &amp; Arid Regions Environmental &amp; Engineering Research Institute, CAS</t>
  </si>
  <si>
    <t>Wu, Q (corresponding author), Chinese Acad Sci, State Key Lab Frozen Soil Engn, Cold &amp; Arid Reg Environm &amp; Engn Inst, Lanzhou 730000, Peoples R China.</t>
  </si>
  <si>
    <t>qbwu@ns.lzb.ac.cn</t>
  </si>
  <si>
    <t>10.1657/1523-0430(07-508)[WU]2.0.CO;2</t>
  </si>
  <si>
    <t>WOS:000250962500021</t>
  </si>
  <si>
    <t>Yu, W; Yao, T; Tian, L; Ma, Y; Kurita, N; Ichiyanagi, K; Wang, Y; Sun, W</t>
  </si>
  <si>
    <t>Yu, Wusheng; Yao, Tandong; Tian, Lide; Ma, Yaoming; Kurita, Naoyuki; Ichiyanagi, Kimpei; Wang, Yu; Sun, Weizhen</t>
  </si>
  <si>
    <t>Stable isotope variations in precipitation and moisture trajectories on the western Tibetan plateau, China</t>
  </si>
  <si>
    <t>O-18; DELTA-O-18; DEUTERIUM; GREENLAND; MONSOON; TEMPERATURE; NORTH; SOUTH; SNOW</t>
  </si>
  <si>
    <t>Observations at the Shiquanhe and Gaize meteorological stations provide data for analysis of delta O-18 and delta D variations in precipitation for the Ngari (Ali) region, western Tibetan Plateau. Temperature controls delta O-18 in precipitation in this area. delta O-18 in precipitation positively correlates with air temperature at the Shiquanhe and Gaize stations, especially for precipitation weighted monthly mean delta O-18. The delta O-18-T correlation gradually strengthens from south to north across the western Tibetan Plateau and adjacent regions, with gradual weakening of southwest monsoon activity. The strongest correlation is found at Hetian. There is a poor correlation between delta O-18 and air temperature in the south at New Delhi because the moisture derives predominantly from the Indian Ocean in summer. The Ngari region exhibits a close relation between delta D and delta O-18 in precipitation samples, similar to stations in adjacent regions and the global meteoric water line. The summer seasonal averaged deuterium excess (d) values increase gradually from south to north across western Tibetan and adjacent areas, resulting from southwest monsoon activity gradually weakening to the north.</t>
  </si>
  <si>
    <t>Chinese Acad Sci, Inst Tibetan Plateau Res, Beijing 100085, Peoples R China; Chinese Acad Sci, State Key lab Cryospher Sci, Cold &amp; Arid Reg Environm &amp; Engn Res Inst, Lanzhou 730000, Peoples R China; Inst Observ Res Global Change, Yokosuka, Kanagawa, Japan</t>
  </si>
  <si>
    <t>Chinese Academy of Sciences; Institute of Tibetan Plateau Research, CAS; Chinese Academy of Sciences; Cold &amp; Arid Regions Environmental &amp; Engineering Research Institute, CAS; Japan Agency for Marine-Earth Science &amp; Technology (JAMSTEC)</t>
  </si>
  <si>
    <t>Yu, W (corresponding author), Chinese Acad Sci, Inst Tibetan Plateau Res, Beijing 100085, Peoples R China.</t>
  </si>
  <si>
    <t>yuws@itpcas.ac.cn</t>
  </si>
  <si>
    <t>Yu, Wusheng/P-1123-2015; Kurita, Naoyuki/C-6120-2014</t>
  </si>
  <si>
    <t>10.1657/1523-0430(07-511)[YU]2.0.CO;2</t>
  </si>
  <si>
    <t>WOS:000250962500022</t>
  </si>
  <si>
    <t>Yang, M; Yao, T; Gou, X; Tang, H</t>
  </si>
  <si>
    <t>Yang, Meixue; Yao, Tandong; Gou, Xiaohua; Tang, Hongguan</t>
  </si>
  <si>
    <t>Water recycling between the land surface an atmosphere on the northern Tibetan plateau-a case study at flat observation sites</t>
  </si>
  <si>
    <t>EURASIAN SNOW COVER; SOIL-MOISTURE; CLIMATE; PRECIPITATION</t>
  </si>
  <si>
    <t>High-resolution soil moisture, temperature, and precipitation data from the northern part of the Tibetan Plateau provide the basis for analyzing the cycling of water between the land surface and atmosphere. Data analyzed come from the Intensive Observation Period (IOP) of the GEWEX (Global Energy and Water Cycle Experiment) Asian Monsoon Experiment (GAME) on the Tibetan Plateau (GAME-Tibet). Observations from July to August 1998 show that evaporation from flat land surfaces was 177 mm on the south side of the Tanggula Mountains, and 73 mm on the north side. These represent about 73% and 58%, respectively, of the precipitation in the same period. Evaporation not only transports considerable water but also considerable energy from the land surface to the atmosphere, which can slow the rising of soil temperatures. Differences in the evaporation between the south and north sides of Tanggula Mountains is mainly caused by differences in precipitation.</t>
  </si>
  <si>
    <t>Chinese Acad Sci, State Key Lab Cryospher Sci, Cold &amp; Arid Reg Environm &amp; Engn Res Inst, Lanzhou 730000, Peoples R China; Chinese Acad Sci, Inst Tibetan Plateau Res, Beijing 100085, Peoples R China; Lanzhou Univ, Coll Earth &amp; Environm Sci, Ctr Arid Environm &amp; Paleoclimate Res, Lanzhou 730000, Peoples R China; Lanzhou Univ, Coll Civil Engn &amp; Mech, Lanzhou 730000, Peoples R China</t>
  </si>
  <si>
    <t>Chinese Academy of Sciences; Cold &amp; Arid Regions Environmental &amp; Engineering Research Institute, CAS; Chinese Academy of Sciences; Institute of Tibetan Plateau Research, CAS; Lanzhou University; Lanzhou University</t>
  </si>
  <si>
    <t>Yang, M (corresponding author), Chinese Acad Sci, State Key Lab Cryospher Sci, Cold &amp; Arid Reg Environm &amp; Engn Res Inst, Lanzhou 730000, Peoples R China.</t>
  </si>
  <si>
    <t>mxyang@lzb.ac.cn</t>
  </si>
  <si>
    <t>10.1657/1523-0430(07-509)[YANG]2.0.CO;2</t>
  </si>
  <si>
    <t>WOS:000250962500023</t>
  </si>
  <si>
    <t>Chen, J; Li, C; He, G</t>
  </si>
  <si>
    <t>Chen, Jing; Li, Chuan; He, Guangbi</t>
  </si>
  <si>
    <t>A diagnostic analysis of the impact of complex terrain in the eastern Tibetan plateau, China, on a severe storm</t>
  </si>
  <si>
    <t>With mesoscale data from a high-resolution numerical model, this paper analyzes the impact of the complex mesoscale terrain at the eastern edge of the Tibetan Plateau on the formation and development of a local severe storm. The result shows that the dynamic blocking effect of the Tibetan Plateau terrain affects the moisture transfer channel in this heavy rain scenario and brings about the formation of a strong water-vapor convergence center in northwest Sichuan and the upper branch of Huang He (Yellow River). The terrain structure of the east side of the Tibetan Plateau places a high energy tongue and energy front in the lower layer of the troposphere of Sichuan Basin and helps establish unstable potential energy stratification in the lower troposphere of the Sichuan Basin. The accumulation of water vapor in the lower troposphere in the Sichuan Basin is the major reason for the establishment of unstable potential energy stratification. The steep terrain of the east side of Tibetan Plateau strengthens the ascendant motion. The strongest updraft movement occurred in the convergence area of the vertical shear of cast and west wind and the steep landform, stimulating the unsteady release of energy and rapid development of the strong convection. The process is also accompanied by a mesoscale vortex in the east side of the Plateau. The most significant thermal and dynamic feature of this heavy rain scenario is that high temperature, high humidity, and strong vorticity columns appear only in the lower troposphere, which is very different from Mei-Yu. (Mei-Yu in Chinese and Baiu in Japanese refers to the frontal precipitation caused by Mei-Yu front, a persistent east-west zone of disturbed weather during early summer which is quasi-stationary and stretches from the east China coast, across Taiwan, and eastward into the Pacific Ocean south of Japan.)</t>
  </si>
  <si>
    <t>China Meteorol Adm, Plateau Meteorol Res Inst, Chengdu 610072, Peoples R China; Univ Maryland, Dept Atmospher &amp; Ocean Sci, College Pk, MD 20741 USA</t>
  </si>
  <si>
    <t>China Meteorological Administration; University System of Maryland; University of Maryland College Park</t>
  </si>
  <si>
    <t>Chen, J (corresponding author), China Meteorol Adm, Plateau Meteorol Res Inst, Chengdu 610072, Peoples R China.</t>
  </si>
  <si>
    <t>chenj@cma.gov.cn</t>
  </si>
  <si>
    <t>10.1657/1523-0430(07-500)[CHEN]2.0.CO;2</t>
  </si>
  <si>
    <t>WOS:000250962500024</t>
  </si>
  <si>
    <t>Li, Y; Gao, W</t>
  </si>
  <si>
    <t>Li, Yueqing; Gao, Wenliang</t>
  </si>
  <si>
    <t>Atmospheric boundary layer circulation on the eastern edge of the Tibetan plateau, China, in summer</t>
  </si>
  <si>
    <t>By using radiosonde data in Sichuan Province and Chongqing Municipality of China during May-September from 1982 to 2002, the meteorological significance and evolution patterns of the atmospheric boundary layer (ABL) wind on the eastern edge of the Tibetan Plateau are analyzed. Results show that the ABL wind at Chengdu near the eastern edge of the Tibetan Plateau varies with regularity. Because of the interaction between the circulation and the topography, the wind field alternates between northeast and southwest winds. When northeast ABL winds prevail at Chengdu, the ABL in the Sichuan Basin maintains a cyclonic flow field and corresponds with heavy rain in the Sichuan Basin. When southwest winds prevail, the ABL maintains an anticyclonic flow field and corresponds with rainless, fine weather in Sichuan Basin. With the northeast-southwest-trending topography between the Tibetan Plateau and the Sichuan Basin, the dynamic trigger of the ABL at Chengdu is a very important cause of occurrence and development of severe, convective weather and heavy rain in the Sichuan Basin. The Chengdu station is the key weather station in the Sichuan Basin for weather prediction and understanding physical mechanisms.</t>
  </si>
  <si>
    <t>China Meteorol Adm, Inst Plateau Meteorol, Chengdu 610071, Peoples R China</t>
  </si>
  <si>
    <t>China Meteorological Administration</t>
  </si>
  <si>
    <t>Li, Y (corresponding author), China Meteorol Adm, Inst Plateau Meteorol, Chengdu 610071, Peoples R China.</t>
  </si>
  <si>
    <t>yueqingli@163.com</t>
  </si>
  <si>
    <t>10.1657/1523-0430(07-504)[LI]2.0.CO;2</t>
  </si>
  <si>
    <t>WOS:000250962500025</t>
  </si>
  <si>
    <t>Oelke, C; Zhang, T</t>
  </si>
  <si>
    <t>Oelke, Christoph; Zhang, Tingjun</t>
  </si>
  <si>
    <t>Modeling the active-layer depth over the Tibetan plateau</t>
  </si>
  <si>
    <t>SEASONAL SNOW COVER; PERMAFROST; CLIMATE</t>
  </si>
  <si>
    <t>The soil thermal regime of the Tibetan Plateau is modeled by applying a one-dimensional heat transfer model with phase change. The two main forcing variables are surface air temperature, from the ERA-40 reanalysis, and snow depth, derived from passive microwave satellite data. Daily fields of soil temperature are simulated, ranging from the soil surface down to 30 in depth, and the horizontal grid cell resolution is 25 km X 25 kin. Results are presented for three different soil moisture regimes. The trend analysis is based on daily fields of active-layer depth (ALD) for the period January 1980 through December 2001. Significant positive ALD trends for all Tibetan permafrost regions are simulated in response to positive air temperature trends, with the strongest trend for the northern Tibetan Plateau (+1.4 cm yr(-1)). Significant trends can reach +4 cm yr(-1) locally. The day of year when ALD was reached shows strong interannual variation, and significant trends occur for smaller areas than for ALD. As an application, the active-layer deepening is presented along the tracks of the Qinghai-Tibet railroad line that has recently been completed.</t>
  </si>
  <si>
    <t>Univ Colorado, Cooperat Inst Res Environm Sci, Natl Snow &amp; Ice Data Ctr, Boulder, CO 80309 USA; Univ Munster, Inst Geophys, D-48149 Munster, Germany</t>
  </si>
  <si>
    <t>University of Colorado System; University of Colorado Boulder; University of Munster</t>
  </si>
  <si>
    <t>Oelke, C (corresponding author), Univ Colorado, Cooperat Inst Res Environm Sci, Natl Snow &amp; Ice Data Ctr, Boulder, CO 80309 USA.</t>
  </si>
  <si>
    <t>ZHANG, TINGJUN/AAX-3662-2020</t>
  </si>
  <si>
    <t>10.1657/1523-0430(06-200)[OELKE]2.0.CO;2</t>
  </si>
  <si>
    <t>WOS:000250962500026</t>
  </si>
  <si>
    <t>Fan, GZ; Zhang, TJ; Ji, JJ; Li, KR; Liu, JY</t>
  </si>
  <si>
    <t>Fan, Guangzhou; Zhang, Tingjun; Ji, Jinjun; Li, Kerang; Liu, Jiyuan</t>
  </si>
  <si>
    <t>Numerical simulation of the carbon cycle over the Tibetan plateau, China</t>
  </si>
  <si>
    <t>ATMOSPHERIC CO2; EXCHANGE; SOIL; MODEL</t>
  </si>
  <si>
    <t>Significant interaction occurs between ecosystem physiological processes and climate. Studying this interaction is beneficial for understanding dynamics of climate change as well as forecasting future climate change. On the Qinghai-Xizang Plateau, the highest plateau in the world, interaction between ecosystem physiological processes and climate affect mid-levels of the atmosphere, so the study of this interaction has a special significance. We use two models, a carbon cycle model (CCM3) and a land surface model (LSM), to simulate ecosystem carbon cycle characteristics over the Tibetan Plateau and its influence on climate. The CO2 flux varies seasonally with ecosystem physiology processes on the Plateau: fluxes are highest in summer and lowest in winter. The seasonal variation of vegetation net CO2 flux shows that vegetation is an atmospheric carbon sink during most of the year, except in winter. This means that vegetation could weaken the greenhouse effect, which is important in terms of global warming. The land ecosystem is a weak carbon source from October to April, and it is a carbon sink from May to September (especially between June and August). The Tibetan Plateau CO2 fluxes vary spatially. The fluxes are highest over the southwest and southeast boundary areas and the northeast region of the Plateau in summer, and are lowest in the middle and northwest regions in winter. The interaction of CO2 flux and temperature shows that higher temperatures increase vegetation photosynthesis and all respiration. The abrupt increase in land ecosystem physiological processes with increasing temperature indicates that any warming due to increased atmospheric CO2 caused by human activity will be weakened by the land ecosystem over the Tibetan Plateau.</t>
  </si>
  <si>
    <t>Chengdu Univ Informat &amp; Technol, Chengdu 610041, Peoples R China; Chinese Acad Sci, Inst Geog Sci &amp; Nat Resource Res, Beijing 100101, Peoples R China; Univ Colorado, Natl Snow &amp; Ice Data Ctr, Cooperat Inst Res Environm Sci, Boulder, CO 80304 USA; Chinese Acad Meteorol Sci, China Meteorol Adm, Beijing 800081, Peoples R China</t>
  </si>
  <si>
    <t>Chengdu University of Information Technology; Chinese Academy of Sciences; Institute of Geographic Sciences &amp; Natural Resources Research, CAS; University of Colorado System; University of Colorado Boulder; China Meteorological Administration; Chinese Academy of Meteorological Sciences (CAMS)</t>
  </si>
  <si>
    <t>Fan, GZ (corresponding author), Chengdu Univ Informat &amp; Technol, Chengdu 610041, Peoples R China.</t>
  </si>
  <si>
    <t>fanggz@cuit.edu.cn</t>
  </si>
  <si>
    <t>10.1657/1523-0430(07-502)[FAN]2.0.CO;2</t>
  </si>
  <si>
    <t>WOS:000250962500027</t>
  </si>
  <si>
    <t>Chen, G; Huey, LG; Crawford, JH; Olson, JR; Hutterli, MA; Sjostedt, S; Tanner, D; Dibb, J; Lefer, B; Blake, N; Davis, D; Stohl, A</t>
  </si>
  <si>
    <t>Chen, G.; Huey, L. G.; Crawford, J. H.; Olson, J. R.; Hutterli, M. A.; Sjostedt, S.; Tanner, D.; Dibb, J.; Lefer, B.; Blake, N.; Davis, Douglas; Stohl, A.</t>
  </si>
  <si>
    <t>An assessment of the polar HOx photochemical budget based on 2003 Summit Greenland field observations</t>
  </si>
  <si>
    <t>ATMOSPHERIC ENVIRONMENT</t>
  </si>
  <si>
    <t>polar HOx; snow emission; HOx budget; formaldehyde; hydrogen peroxide</t>
  </si>
  <si>
    <t>HYDROGEN-PEROXIDE H2O2; AIR-SNOW EXCHANGE; SOUTH-POLE; ATMOSPHERIC CHEMISTRY; BOUNDARY-LAYER; SURFACE SNOW; ICE CORES; FORMALDEHYDE; ACID; HCHO</t>
  </si>
  <si>
    <t>An interpretative modeling analysis is conducted to simulate the diurnal variations in OH and HO2 + RO2 observed at Summit, Greenland in 2003. The main goal is to assess the HOx budget and to quantify the impact of snow emissions on ambient HOx as well as on CH2O and H2O2. This analysis is based on composite diurnal profiles of HOx precursors recorded during a 3-day period (July 7-9), which were generally compatible with values reported in earlier studies. The model simulations can reproduce the observed diurnal variation in HO2 + RO2 when they are constrained by observations of H2O2 and CH2O. By contrast, model predictions of OH were about factor of 2 higher than the observed values. Modeling analysis of H2O2 suggests that its distinct diurnal variation is likely controlled by snow emissions and loss by deposition and/or scavenging. Similarly, deposition and/or scavenging sinks are needed to reproduce the observed diel profile in CH2O. This study suggests that for the Summit 2003 period snow emissions contribute similar to 25% of the total CH2O production, while photochemical oxidation of hydrocarbon appears to be the dominant source. A budget assessment of HOx radicals shows that primary production from O(D-1) + H2O and photolysis of snow emitted precursors (i.e., H2O2 and CH2O)are the largest primary HOx sources at Summit, contributing 41% and 40%, respectively. The snow contribution to the HOx budget is mostly in the form of emissions of H2O2. The dominant HO, sink involves the HO2 + HO2 reaction forming H2O2, followed by its deposition to snow. These results differ from those previously reported for the South Pole (SP), in that primary production of HOx was shown to be largely driven by both the photolysis of CH2O and H2O2 emissions (46%) with smaller contributions coming from the oxidation of CH4 and the 0(D-1) + H2O reaction (i.e., 27% each). In sharp contrast to the findings at Summit in 2003, due to the much higher levels of NOx the SP HO, sinks are dominated by HOx-NOx reactions, leading to the formation and deposition of HNO3 and HO2NO2. Thus, a comparison between SP and Summit studies suggests that snow emissions appear to play a prominent role in controlling primary HOx production in both environments. However, as regards to maintaining highly elevated levels of OH, the two environments differ substantially. At Summit the elevated rate for primary production of HOx is most important; whereas, at SP it is the rapid recycling of the more prevalent HO2 radical, through reaction with NO, back to OH that is primarily responsible. (C) 2007 Elsevier Ltd. All rights reserved.</t>
  </si>
  <si>
    <t>[Chen, G.; Crawford, J. H.; Olson, J. R.] NASA, Langley Res Ctr, Chem &amp; Dynam Branch, Sci Directorate, Hampton, VA 23681 USA; [Huey, L. G.; Sjostedt, S.; Tanner, D.; Davis, Douglas] Georgia Inst Technol, Sch Earth &amp; Atmospher Sci, Atlanta, GA USA; [Hutterli, M. A.] British Antarctic Survey, Div Phys Sci, Cambridge, England; [Hutterli, M. A.] Univ Arizona, Dept Hydrol &amp; Water Resources, Tucson, AZ USA; [Dibb, J.] Univ New Hampshire, Inst Study Earth Oceans &amp; Space, Durham, NC USA; [Lefer, B.] Univ Houston, Dept Geosci, Houston, TX USA; [Blake, N.] Univ Calif Irvine, Dept Chem, Irvine, CA USA; [Stohl, A.] Norwegian Inst Air Res, Kjeller, Norway</t>
  </si>
  <si>
    <t>National Aeronautics &amp; Space Administration (NASA); NASA Langley Research Center; University System of Georgia; Georgia Institute of Technology; UK Research &amp; Innovation (UKRI); Natural Environment Research Council (NERC); NERC British Antarctic Survey; University of Arizona; University System Of New Hampshire; University of New Hampshire; University of Houston System; University of Houston; University of California System; University of California Irvine; NILU</t>
  </si>
  <si>
    <t>Chen, G (corresponding author), NASA, Langley Res Ctr, Chem &amp; Dynam Branch, Sci Directorate, Hampton, VA 23681 USA.</t>
  </si>
  <si>
    <t>gao.chen@nasa.gov</t>
  </si>
  <si>
    <t>Lefer, Barry L/B-5417-2012; Lefer, Barry/X-9091-2019; Stohl, Andreas/A-7535-2008; Sjostedt, Steven J/B-5032-2015; Crawford, James/L-6632-2013</t>
  </si>
  <si>
    <t>Lefer, Barry L/0000-0001-9520-5495; Lefer, Barry/0000-0001-9520-5495; Stohl, Andreas/0000-0002-2524-5755; Crawford, James/0000-0002-6982-0934</t>
  </si>
  <si>
    <t>Natural Environment Research Council [bas010016] Funding Source: researchfish; NERC [bas010016] Funding Source: UKRI</t>
  </si>
  <si>
    <t>1352-2310</t>
  </si>
  <si>
    <t>ATMOS ENVIRON</t>
  </si>
  <si>
    <t>Atmos. Environ.</t>
  </si>
  <si>
    <t>10.1016/j.atmosenv.2007.06.014</t>
  </si>
  <si>
    <t>243XB</t>
  </si>
  <si>
    <t>WOS:000251829500010</t>
  </si>
  <si>
    <t>Luque, SP; Guinet, C</t>
  </si>
  <si>
    <t>Luque, Sebastian P.; Guinet, Christophe</t>
  </si>
  <si>
    <t>A maximum likelihood approach for identifying dive bouts improves accuracy, precision and objectivity</t>
  </si>
  <si>
    <t>BEHAVIOUR</t>
  </si>
  <si>
    <t>Antarctic fur seal; diving behaviour; foraging behaviour; foraging patch; pinniped</t>
  </si>
  <si>
    <t>DIVING BEHAVIOR; SPLITTING BEHAVIOR; OPTIMAL ALLOCATION; PATCH USE; TIME; RESPONSES; MOVEMENT; DYNAMICS; ECOLOGY; SCALE</t>
  </si>
  <si>
    <t>Foraging behaviour frequently occurs in bouts, and considerable efforts to properly define those bouts have been made because they partly reflect different scales of environmental variation. Methods traditionally used to identify such bouts are diverse, include some level of subjectivity, and their accuracy and precision is rarely compared. Therefore, the applicability of a maximum likelihood estimation method (MLM) for identifying dive bouts was investigated and compared with a recently proposed sequential differences analysis (SDA). Using real data on interdive durations from Antarctic fur seals (Arctocephalus gazella Peters, 1875), the MLM-based model produced briefer bout ending criterion (BEC) and more precise parameter estimates than the SDA approach. The MLM-based model was also in better agreement with real data, as it predicted the cumulative frequency of differences in interdive duration more accurately. Using both methods on simulated data showed that the MLM-based approach produced less biased estimates of the given model parameters than the SDA approach. Different choices of histogram bin widths involved in SDA had a systematic effect on the estimated BEC, such that larger bin widths resulted in longer BECs. These results suggest that using the MLM-based procedure with the sequential differences in interdive durations, and possibly other dive characteristics, may be an accurate, precise, and objective tool for identifying dive bouts.</t>
  </si>
  <si>
    <t>Mem Univ Newfoundland, Dept Biol, St John, NF A1B 3X9, Canada; CNRS, Ctr Etud Biol Chize, F-79360 Villiers en Bois, France</t>
  </si>
  <si>
    <t>Memorial University Newfoundland; Centre National de la Recherche Scientifique (CNRS)</t>
  </si>
  <si>
    <t>BRILL</t>
  </si>
  <si>
    <t>LEIDEN</t>
  </si>
  <si>
    <t>PLANTIJNSTRAAT 2, P O BOX 9000, 2300 PA LEIDEN, NETHERLANDS</t>
  </si>
  <si>
    <t>0005-7959</t>
  </si>
  <si>
    <t>1568-539X</t>
  </si>
  <si>
    <t>Behaviour</t>
  </si>
  <si>
    <t>10.1163/156853907782418213</t>
  </si>
  <si>
    <t>232KL</t>
  </si>
  <si>
    <t>WOS:000251018500001</t>
  </si>
  <si>
    <t>Kattner, G; Hagen, W; Lee, RF; Campbell, R; Deibel, D; Falk-Petersen, S; Graeve, M; Hansen, BW; Hirche, HJ; Jonasdottir, SH; Madsen, ML; Mayzaud, P; Müller-Navarra, D; Nichols, PD; Paffenhöfer, GA; Pond, D; Saito, H; Stübing, D; Virtue, P</t>
  </si>
  <si>
    <t>Kattner, G.; Hagen, W.; Lee, R. F.; Campbell, R.; Deibel, D.; Falk-Petersen, S.; Graeve, M.; Hansen, B. W.; Hirche, H. J.; Jonasdottir, S. H.; Madsen, M. L.; Mayzaud, P.; Mueller-Navarra, D.; Nichols, P. D.; Paffenhoefer, G. -A.; Pond, D.; Saito, H.; Stuebing, D.; Virtue, P.</t>
  </si>
  <si>
    <t>Perspectives on marine zooplankton lipids</t>
  </si>
  <si>
    <t>CANADIAN JOURNAL OF FISHERIES AND AQUATIC SCIENCES</t>
  </si>
  <si>
    <t>PTEROPOD CLIONE-LIMACINA; FATTY-ACID; ARCTIC-OCEAN; WAX ESTERS; OCTADECAPENTAENOIC ACID; HERBIVOROUS COPEPODS; CALANOID COPEPOD; ANTARCTIC KRILL; TROPHIC MARKERS; CLIMATE-CHANGE</t>
  </si>
  <si>
    <t>We developed new perspectives to identify important questions and to propose approaches for future research on marine food web lipids. They were related to (i) structure and function of lipids, (ii) lipid changes during critical life phases, (iii) trophic marker lipids, and (iv) potential impact of climate change. The first addresses the role of lipids in membranes, storage lipids, and buoyancy with the following key question: How are the properties of membranes and deposits affected by the various types of lipids? The second deals with the importance of various types of lipids during reproduction, development, and resting phases and addresses the role of the different storage lipids during growth and dormancy. The third relates to trophic marker lipids, which are an important tool to follow lipid and energy transfer through the food web. The central question is how can fatty acids be used to identify and quantify food web relationships? With the fourth, hypotheses are presented on effects of global warming, which may result in the reduction or change in abundance of large, lipid-rich copepods in polar oceans, thereby strongly affecting higher trophic levels. The key question is how will lipid dynamics respond to changes in ocean climate at high latitudes?.</t>
  </si>
  <si>
    <t>[Kattner, G.; Graeve, M.; Hirche, H. J.] Alfred Wegener Inst Polar &amp; Marine Res, D-27570 Bremerhaven, Germany; [Hagen, W.; Stuebing, D.] Univ Bremen, D-28334 Bremen, Germany; [Lee, R. F.; Paffenhoefer, G. -A.] Skidaway Inst Oceanog, Savannah, GA 31411 USA; [Campbell, R.; Mueller-Navarra, D.] Univ Hamburg, Inst Hydrobiol &amp; Fisheries Sci, D-22767 Hamburg, Germany; [Deibel, D.] Mem Univ Newfoundland, Ctr Ocean Sci, St John, NF A1C 5S7, Canada; [Falk-Petersen, S.] Norwegian Polar Res Inst, N-9296 Tromso, Norway; [Hansen, B. W.; Madsen, M. L.] Roskilde Univ, Dept Chem &amp; Life Sci, DK-4000 Roskilde, Denmark; [Jonasdottir, S. H.] Danish Inst Fisheries Res, Dept Marine Ecol &amp; Aquaculture, DK-2920 Charlottenlund, Denmark; [Mayzaud, P.] CNRS, Lab Oceanog Villefranche, INSU, Observ Oceanol, F-06230 Villefranche Sur Mer, France; [Nichols, P. D.] CSIRO, Marine &amp; Atmospher Res, Hobart, Tas 7000, Australia; [Pond, D.] British Antarctic Survey, Cambridge CB3 0ET, England; [Saito, H.] Natl Res Inst Fisheries Sci, Yokohama, Kanagawa 2368648, Japan; [Virtue, P.] Univ Tasmania, Inst Antarctic &amp; So Ocean Studies, Hobart, Tas 7001, Australia</t>
  </si>
  <si>
    <t>Helmholtz Association; Alfred Wegener Institute, Helmholtz Centre for Polar &amp; Marine Research; University of Bremen; University System of Georgia; University of Georgia; Skidaway Institute of Oceanography; University of Hamburg; Memorial University Newfoundland; Norwegian Polar Institute; Roskilde University; Centre National de la Recherche Scientifique (CNRS); CNRS - National Institute for Earth Sciences &amp; Astronomy (INSU); Sorbonne Universite; Commonwealth Scientific &amp; Industrial Research Organisation (CSIRO); UK Research &amp; Innovation (UKRI); Natural Environment Research Council (NERC); NERC British Antarctic Survey; Japan Fisheries Research &amp; Education Agency (FRA); University of Tasmania</t>
  </si>
  <si>
    <t>Kattner, G (corresponding author), Alfred Wegener Inst Polar &amp; Marine Res, D-27570 Bremerhaven, Germany.</t>
  </si>
  <si>
    <t>Gerhard.Kattner@awi.de</t>
  </si>
  <si>
    <t>SAITO, HIROAKI/J-6948-2017; Nichols, Peter D/C-5128-2011; Hansen, Benni/K-3299-2015; Graeve, Martin/B-5751-2017</t>
  </si>
  <si>
    <t>SAITO, HIROAKI/0000-0002-5502-9076; Hansen, Benni/0000-0003-1145-561X; Jonasdottir, Sigrun/0000-0003-4985-0447; Virtue, Patti/0000-0002-9870-1256; Hagen, Wilhelm/0000-0002-7462-9931; Graeve, Martin/0000-0002-2294-1915; Stubing, Dorothea/0000-0003-1105-754X</t>
  </si>
  <si>
    <t>0706-652X</t>
  </si>
  <si>
    <t>1205-7533</t>
  </si>
  <si>
    <t>CAN J FISH AQUAT SCI</t>
  </si>
  <si>
    <t>Can. J. Fish. Aquat. Sci.</t>
  </si>
  <si>
    <t>10.1139/F07-122</t>
  </si>
  <si>
    <t>240NU</t>
  </si>
  <si>
    <t>WOS:000251595100015</t>
  </si>
  <si>
    <t>Sioris, CE; Chabrillat, S; McLinden, CA; Haley, CS; Rochon, YJ; Ménard, R; Charron, M; McElroy, CT</t>
  </si>
  <si>
    <t>Sioris, C. E.; Chabrillat, S.; McLinden, C. A.; Haley, C. S.; Rochon, Y. J.; Menard, R.; Charron, M.; McElroy, C. T.</t>
  </si>
  <si>
    <t>OSIRIS observations of a tongue of NOx in the lower stratosphere at the Antarctic vortex edge:: comparison with a high-resolution simulation from the Global Environmental Multiscale (GEM) model</t>
  </si>
  <si>
    <t>CANADIAN JOURNAL OF PHYSICS</t>
  </si>
  <si>
    <t>PROFILES; OZONE; INSTRUMENT</t>
  </si>
  <si>
    <t>Selected NO, profiles of the Antarctic lower stratosphere inferred from OSIRIS NO2 observations are presented from the austral spring of 2003, These observations show a tongue of NOx at 100 hPa, with a concentration typical of the middle stratosphere. Simulations with the Global Environmental Multiscale model show that this small-scale tongue of NOx-rich air descended into the lower stratosphere. The tongue was formed as a result of a Rossby wave breaking days earlier, transporting NOx, from the pole, where larger concentrations had recently appeared, to the edge of the vortex. The three-dimensional structure of the breaking wave is illustrated in detail.</t>
  </si>
  <si>
    <t>Environm Canada, Toronto, ON M3H 5T4, Canada; Inst Aeron Spatiale Belgique, B-1180 Brussels, Belgium; York Univ, Toronto, ON M3J 1P3, Canada; Environm Canada, Dorval, PQ H9P 1J3, Canada</t>
  </si>
  <si>
    <t>Environment &amp; Climate Change Canada; York University - Canada; Environment &amp; Climate Change Canada</t>
  </si>
  <si>
    <t>Sioris, CE (corresponding author), Environm Canada, 4905 Dufferin St, Toronto, ON M3H 5T4, Canada.</t>
  </si>
  <si>
    <t>Christopher.Sioris@ec.gc.ca</t>
  </si>
  <si>
    <t>Chabrillat, Simon/AAM-7850-2020; Charron, Martin/AAU-8763-2021; McLinden, Chris/A-7710-2010</t>
  </si>
  <si>
    <t>Chabrillat, Simon/0000-0003-4378-1567; Sioris, Christopher/0000-0003-1168-8755; McLinden, Chris/0000-0001-5054-1380; Charron, Martin/0000-0002-5056-3958</t>
  </si>
  <si>
    <t>1200 MONTREAL ROAD, BUILDING M-55, OTTAWA, ON K1A 0R6, CANADA</t>
  </si>
  <si>
    <t>0008-4204</t>
  </si>
  <si>
    <t>CAN J PHYS</t>
  </si>
  <si>
    <t>Can. J. Phys.</t>
  </si>
  <si>
    <t>10.1139/P07-123</t>
  </si>
  <si>
    <t>232WI</t>
  </si>
  <si>
    <t>WOS:000251050800008</t>
  </si>
  <si>
    <t>Han, JP; Wang, HJ</t>
  </si>
  <si>
    <t>Han Jin-Ping; Wang Hui-Jun</t>
  </si>
  <si>
    <t>Features of interdecadal changes of the East Asian summer monsoon and similarity and discrepancy in ERA-40 and NCEP/NCAR reanalysis</t>
  </si>
  <si>
    <t>East Asian summer monsoon; interdecadal changes; Western Pacific subtropical high; westerlies over the Eurasia; Mascrene high; Australian high; Antarctic oscillation</t>
  </si>
  <si>
    <t>NCEP-NCAR REANALYSIS; YANGTZE-RIVER VALLEY; SOUTHERN-HEMISPHERE; NORTHERN-HEMISPHERE; PRECIPITATION; RAINFALL; CHINA; TEMPERATURE; VARIABILITY; CIRCULATION</t>
  </si>
  <si>
    <t>This study investigates features of interdecadal changes of the East Asian summer monsoon (EASM) by using the European Centre for Medium-Range Weather Forecasts (ECMWF) Re-Aanalysis (ERA-40), the National Centers for Environmental Prediction-National Center for Atmospherics Research (NCEP/NCAR) Reanalysis and observations for the period 1958 similar to 1998. Weakening of EASM after the late 1970s is presented as decreasing surface air temperature, rising sea level pressure and northern wind anomaly over JiangHuai valley. Besides the local elements, the interdecadal changes appear in those systems related, such as western Pacific subtropical high, westerlies over Eurasian continent, Australian high and Antarctic Oscillation, which become stronger after 1970s than before. Both Reanalysis data sets showing similar features of the interdecadal changes still have many differences.</t>
  </si>
  <si>
    <t>Chinese Acad Sci, Inst Atmospher Phys, Nansen Zhu Int Res Ctr, Beijing 100029, Peoples R China; Grad Univ Chinese Acad Sci, Beijing 100049, Peoples R China</t>
  </si>
  <si>
    <t>Chinese Academy of Sciences; Institute of Atmospheric Physics, CAS; Chinese Academy of Sciences; University of Chinese Academy of Sciences, CAS</t>
  </si>
  <si>
    <t>Han, JP (corresponding author), Chinese Acad Sci, Inst Atmospher Phys, Nansen Zhu Int Res Ctr, Beijing 100029, Peoples R China.</t>
  </si>
  <si>
    <t>hanjp@mail.iap.ac.cn</t>
  </si>
  <si>
    <t>236ZZ</t>
  </si>
  <si>
    <t>WOS:000251343600006</t>
  </si>
  <si>
    <t>Evans, RP; Hobbs, RS; Goddard, SV; Fletcher, GL</t>
  </si>
  <si>
    <t>Evans, Robert P.; Hobbs, Rod S.; Goddard, Sally V.; Fletcher, Garth L.</t>
  </si>
  <si>
    <t>The importance of dissolved salts to the in vivo efficacy of antifreeze proteins</t>
  </si>
  <si>
    <t>COMPARATIVE BIOCHEMISTRY AND PHYSIOLOGY A-MOLECULAR &amp; INTEGRATIVE PHYSIOLOGY</t>
  </si>
  <si>
    <t>AFP; ice; hydration shell; marine fish; salt; thermal hysteresis; un-freezable water</t>
  </si>
  <si>
    <t>FLOUNDER PSEUDOPLEURONECTES-AMERICANUS; WINTER FLOUNDER; MOLECULAR-WEIGHT; ANTARCTIC FISHES; LOW-TEMPERATURE; FREEZING-POINT; GLYCOPROTEINS; SKIN; POLYPEPTIDES; PHYSIOLOGY</t>
  </si>
  <si>
    <t>Antifreeze proteins (AFP) and antifreeze glycoproteins (AFGP) lower the freezing point of marine fish plasma non-colligatively by specifically adsorbing to certain surfaces of ice crystals, modifying their structure and inhibiting further growth. While the freezing point is lowered, the melting point is unaltered and the difference between the two is termed thermal hysteresis (TH). In pure water, the level of TH is directly related to the intrinsic activity of the specific AF(G)P in solution and to their concentration. Results of this study indicate that when AF(G)P are dissolved in salt solutions, such as NaCl, encompassing the range they could encounter in nature, there is a synergistic enhancement of basal TH that is positively related to the salt concentration. This enhancement is likely a result of the hydration shell surrounding the dissolved ions and, as a consequence, reducing freezable water. A secondary reason for the enhancement is that the salt could be influencing the hydration shell surrounding the AF(G)P, increasing their solubility and thus the protein surface area available to adsorb to the ice/water interface. The former hypothesis for the salt enhanced TH has implications for the in vivo function of AF(G)P, particularly at the seawater/external epithelia (gills, skin, stomach) interface. The latter hypothesis is likely only relevant to in vitro situations where freeze dried protein is dissolved in low salt solutions. (c) 2007 Elsevier Inc. All rights reserved.</t>
  </si>
  <si>
    <t>Mem Univ Newfoundland, Ctr Ocean Sci, St John, NF A1C 5S7, Canada; Mem Univ Newfoundland, Dept Biol, St John, NF A1C 5S7, Canada</t>
  </si>
  <si>
    <t>Memorial University Newfoundland; Memorial University Newfoundland</t>
  </si>
  <si>
    <t>Fletcher, GL (corresponding author), Mem Univ Newfoundland, Ctr Ocean Sci, St John, NF A1C 5S7, Canada.</t>
  </si>
  <si>
    <t>garthfletcher@nl.rogers.com</t>
  </si>
  <si>
    <t>1095-6433</t>
  </si>
  <si>
    <t>COMP BIOCHEM PHYS A</t>
  </si>
  <si>
    <t>Comp. Biochem. Physiol. A-Mol. Integr. Physiol.</t>
  </si>
  <si>
    <t>10.1016/j.cbpa.2007.07.005</t>
  </si>
  <si>
    <t>Biochemistry &amp; Molecular Biology; Physiology; Zoology</t>
  </si>
  <si>
    <t>227KR</t>
  </si>
  <si>
    <t>WOS:000250656100009</t>
  </si>
  <si>
    <t>Ward, P; Whitehouse, M; Shreeve, R; Thorpe, S; Atkinson, A; Korb, R; Pond, D; Young, E</t>
  </si>
  <si>
    <t>Ward, Peter; Whitehouse, Mick; Shreeve, Rachael; Thorpe, Sally; Atkinson, Angus; Korb, Rebecca; Pond, David; Young, Emma</t>
  </si>
  <si>
    <t>Plankton community structure south and west of South Georgia (Southern Ocean): Links with production and physical forcing</t>
  </si>
  <si>
    <t>antarctica; Southern Ocean; South Georgia; marine plankton communities; physical oceanography; island shelf; production; phytoplankton blooms</t>
  </si>
  <si>
    <t>CIRCUMPOLAR CURRENT FRONT; LONG-TERM CHANGES; ZOOPLANKTON COMMUNITY; SCOTIA SEA; VARIABILITY; PHYTOPLANKTON; TEMPERATURE; DYNAMICS; NUTRIENT; CLIMATE</t>
  </si>
  <si>
    <t>During late December 2004 and early January 2005 the plankton community to the south and west of South Georgia was investigated. Satellite imagery had shown the surface expression of a bloom over the southern shelf I month prior to the cruise, although by the time of sampling a well-defined sub-surface chl-a maximum was evident at 26 of the 57 stations located mainly at the western end of the southern shelf (and the bloom was declining). Nonetheless, integrated chl-a was still greater over the shelf than elsewhere (18-362 mg m(-2)). Macronutrient distributions essentially mirrored the distribution of chl-a biomass, with depletion greatest in the on-shelf waters at the western end of South Georgia, where the most intense surface bloom had occurred during the preceding November. Nearest neighbour clustering of microplankton and mesozooplankton data revealed the presence of two major station groups within each analysis with broadly congruent distributions. Within the microplankton analysis a southern and western shelf grouping of 18 stations was dominated by Corethron spp., Eucampia antarctica and Thalassiothrix spp. This group corresponded spatially to a shelf zooplankton grouping (12 of the 18 stations in both groups in common) in which mesozooplankton abundance was greatest. Here small copepods such as Oithona spp. and the neritic clausocalaniid Drepanopus forcipatus dominated, along with the thecate pteropod Limacina helicina, appendicularians and calanoid copepod naupliar stages. Acoustic doppler current profiler (ADCP) measurements indicated that water flow over the shelf was low and variable (&lt; 15 cm s(-1)). In contrast the largest station groups in both ordinations were distributed along the southern shelf-break and further off-shelf in water flowing rapidly (up to 55 cm s(-1)) to the southeast. Nitzschia spp., Pseudonitzschia spp., and Fragilariopsis kerguelensis were abundant here, and the zooplankton, in addition to Oithona spp., was characterized by Metridia spp., Ctenocalanus spp., Oncaea spp., and the polychaete Pelagobia longicirrata. A third group of 13 stations disclosed by the mesoplankton ordination was confined to the north and west and generally comprised outer shelf stations in deeper waters. Here zooplankton abundance was less than in the adjacent major station groupings, although Calanus simillimus was considerably more abundant than in other groups. Relationships of both micro- and zooplankton ordinations with environmental variables were modest (Spearman rank correlation, rho w = 0.49-0.59), albeit complex, with interactions likely to have occurred over different timescales. High levels of ammonium over the shelf, probably resulting from microbial breakdown and zooplankton excretion, contributed most to explaining both ordinations, along with the Si(OH)(4):NO3 deficit ratio, a measure of past nutrient use. Model output from Ocean Circulation and Climate Advanced Modelling (OCCAM) supported ADCP-derived flow measurements. Specifically, release of particles along a transect to the southwest suggested there was an extended residence time (in excess of 3 months) over the southern shelf and a slow but significant northwards transport into the Georgia Basin. The spatial extent of the shelf and the current speed and direction implied that in situ production was locally important and had the potential to contribute significantly to downstream ecosystems. (C) 2007 Elsevier Ltd. All rights reserved.</t>
  </si>
  <si>
    <t>[Ward, Peter; Whitehouse, Mick; Shreeve, Rachael; Thorpe, Sally; Atkinson, Angus; Korb, Rebecca; Pond, David; Young, Emma] British Antarctic Survey, NERC, Cambridge CB3 0ET, England</t>
  </si>
  <si>
    <t>Ward, P (corresponding author), British Antarctic Survey, NERC, High Cross,Madingley Rd, Cambridge CB3 0ET, England.</t>
  </si>
  <si>
    <t>pwar@nerc-bas.ac.uk</t>
  </si>
  <si>
    <t>Thorpe, Sally/0000-0002-5193-6955; Young, Emma/0000-0002-7069-6109</t>
  </si>
  <si>
    <t>1879-0119</t>
  </si>
  <si>
    <t>10.1016/j.dsr.2007.08.008</t>
  </si>
  <si>
    <t>241OJ</t>
  </si>
  <si>
    <t>WOS:000251665400002</t>
  </si>
  <si>
    <t>Wedborg, M; Persson, T; Larsson, T</t>
  </si>
  <si>
    <t>Wedborg, Margareta; Persson, Tomas; Larsson, Tobias</t>
  </si>
  <si>
    <t>On the distribution of UV-blue fluorescent organic matter in the Southern Ocean</t>
  </si>
  <si>
    <t>Southern Ocean; PARAFAC; FOM; chemometrics; multiway</t>
  </si>
  <si>
    <t>EASTERN ATLANTIC SECTOR; SURFACE-WATER; MARINE; SPECTROSCOPY; CARBON; VARIABILITY; PARAFAC; SEA; TERRESTRIAL; EXCITATION</t>
  </si>
  <si>
    <t>The purpose of the work presented in this paper was to study the components of fluorescent organic matter (FOM) resulting from multi-way decomposition of excitation-emission matrices (EEMs) and to find out how their relative distributions and amounts were affected by the changing hydrography and productivity in the Southern Ocean. Data were collected during the austral summer 97/98 along the 6 degrees E meridian covering the area between the spring ice edge and the Subtropical Front. By multiway PARAllel FACtor (PARAFAC) analysis, fluorescence EEMs could be decomposed into components that could be used for relative quantification. It is shown that three components suffice to model the fluorescence in this specific region. Two of the components obtained were protein-like and directly related to in-situ production/degradation; they were correlated with chlorophyll a, and were found to mix down to the core of the Antarctic intermediate water (AAIW) in the Subtropical Front. One component was classified as UV/Visible humic-like and showed a distribution that was very closely related to the qsu-calibrated fluorescence, i.e. indicative of terrestrial input, and of long term processes in the ocean. We suggest that the UV/Visible humic-like component consists of refractory material that is not produced or degraded significantly. It is concluded that a small number of components from PARAFAC analysis were satisfactory representatives of the major types of UV-blue fluorescent structural units present. The qualitative and quantitative results from the PARAFAC model also correlated well with other chemical and physical parameters. (C) 2007 Elsevier Ltd. All rights reserved.</t>
  </si>
  <si>
    <t>[Wedborg, Margareta; Persson, Tomas; Larsson, Tobias] Gothenburg Univ, Dept Chem, SE-412 Gothenburg, Sweden</t>
  </si>
  <si>
    <t>University of Gothenburg</t>
  </si>
  <si>
    <t>Wedborg, M (corresponding author), Gothenburg Univ, Dept Chem, SE-412 Gothenburg, Sweden.</t>
  </si>
  <si>
    <t>margareta.wedborg@chem.gu.se; tomas.persson@capio.se; toblar@chem.gu.se</t>
  </si>
  <si>
    <t>Wedborg, Margareta/B-2620-2010</t>
  </si>
  <si>
    <t>10.1016/j.dsr.2007.07.003</t>
  </si>
  <si>
    <t>WOS:000251665400007</t>
  </si>
  <si>
    <t>Pitul'ko, VV; Pavlova, EY; Kuz'mina, SA; Nikol'skii, PA; Basilyan, AE; Tumskoi, VE; Anisimov, MA</t>
  </si>
  <si>
    <t>Pitul'ko, V. V.; Pavlova, E. Yu.; Kuz'mina, S. A.; Nikol'skii, P. A.; Basilyan, A. E.; Tumskoi, V. E.; Anisimov, M. A.</t>
  </si>
  <si>
    <t>Natural-climatic changes in the Yana-Indigirka lowland during the terminal Kargino time and habitat of late Paleolithic man in northern part of East Siberia</t>
  </si>
  <si>
    <t>Russian Acad Sci, Inst Hist Mat Culture, St Petersburg 192041, Russia; Arctic &amp; Antarctic Res Inst, St Petersburg 199397, Russia; Russian Acad Sci, Inst Paleontol, Moscow 117647, Russia; Russian Acad Sci, Inst Geol, Moscow 119017, Russia; Moscow MV Lomonosov State Univ, Moscow 119991, Russia</t>
  </si>
  <si>
    <t>Russian Academy of Sciences; Institute for the History of Material Culture, Russian Academy of Sciences; St. Petersburg Scientific Centre of the Russian Academy of Sciences; Arctic &amp; Antarctic Research Institute; Russian Academy of Sciences; Russian Academy of Sciences; Geological Institute, Russian Academy of Sciences; Lomonosov Moscow State University</t>
  </si>
  <si>
    <t>Pitul'ko, VV (corresponding author), Russian Acad Sci, Inst Hist Mat Culture, Dvortsovaya Nab 8, St Petersburg 192041, Russia.</t>
  </si>
  <si>
    <t>pitulkov@rambler.ru</t>
  </si>
  <si>
    <t>Pitulko, Vladimir/N-4009-2019; Pitulko, Vladimir/E-2200-2015; Nikolskiy, Pavel/JNT-4697-2023; Pavlova, Elena/AAA-3291-2019; Nikolskiy, Pavel A/C-5041-2012; Kuzmina, Svetlana/AAN-7520-2021</t>
  </si>
  <si>
    <t>Pitulko, Vladimir/0000-0001-5672-2756; Pavlova, Elena/0000-0002-3010-6290</t>
  </si>
  <si>
    <t>10.1134/S1028334X07080284</t>
  </si>
  <si>
    <t>239DO</t>
  </si>
  <si>
    <t>WOS:000251499100028</t>
  </si>
  <si>
    <t>Norkko, A; Thrush, SF; Cummings, VJ; Gibbs, MM; Andrew, NL; Norkko, J; Schwarz, AM</t>
  </si>
  <si>
    <t>Norkko, A.; Thrush, S. F.; Cummings, V. J.; Gibbs, M. M.; Andrew, N. L.; Norkko, J.; Schwarz, A. -M.</t>
  </si>
  <si>
    <t>Trophic structure of coastal antarctic food webs associated with changes in sea ice and food supply</t>
  </si>
  <si>
    <t>ECOLOGY</t>
  </si>
  <si>
    <t>Antarctica; benthic food webs; coastal sea ice; omnivory; Ross Sea; spatial subsidies; stable isotopes</t>
  </si>
  <si>
    <t>STABLE-ISOTOPE ANALYSIS; MCMURDO-SOUND; ROSS SEA; BENTHIC COMMUNITIES; MARINE ECOSYSTEMS; SOUTHERN-OCEAN; DELTA-C-13; DELTA-N-15; DYNAMICS; PATTERNS</t>
  </si>
  <si>
    <t>Predicting the dynamics of ecosystems requires an understanding of how trophic interactions respond to environmental change. In Antarctic marine ecosystems, food web dynamics are inextricably linked to sea ice conditions that affect the nature and magnitude of primary food sources available to higher trophic levels. Recent attention on the changing sea ice conditions in polar seas highlights the need to better understand how marine food webs respond to changes in such broad-scale environmental drivers. This study investigated the importance of sea ice and advected primary food sources to the structure of benthic food webs in coastal Antarctica. We compared the isotopic composition of several sea. floor taxa (including primary producers and invertebrates with a variety of feeding modes) that are widely distributed in the Antarctic. We assessed shifts in the trophic role of numerically dominant benthic omnivores at five coastal Ross Sea locations. These locations vary in primary productivity and food availability, due to their different levels of sea ice cover, and proximity to polynyas and advected primary production. The delta N-15 signatures and isotope mixing model results for the bivalves Laternula elliptica and Adamussium colbecki and the urchin Sterechinus neumeyeri indicate a shift from consumption of a higher proportion of detritus at locations with more permanent sea ice in the south to more freshly produced algal material associated with proximity to ice-free water in the north and east. The detrital pathways utilized by many benthic species may act to dampen the impacts of large seasonal fluctuations in the availability of primary production. The limiting relationship between sea ice distribution and in situ primary productivity emphasizes the role of connectivity and spatial subsidies of organic matter in fueling the food web. Our results begin to provide a basis for predicting how benthic ecosystems will respond to changes in sea ice persistence and extent along environmental gradients in the high Antarctic.</t>
  </si>
  <si>
    <t>Finnish Inst Marine Res, Dept Biol Oceanog, FI-00561 Helsinki, Finland; WorldFish Ctr, George Town, Malaysia; Natl Inst Water &amp; Atmospher Res, Hamilton, New Zealand</t>
  </si>
  <si>
    <t>CGIAR; Worldfish; National Institute of Water &amp; Atmospheric Research (NIWA) - New Zealand</t>
  </si>
  <si>
    <t>Norkko, A (corresponding author), Finnish Inst Marine Res, Dept Biol Oceanog, PO Box 2, FI-00561 Helsinki, Finland.</t>
  </si>
  <si>
    <t>alf.norkko@fimr.fi</t>
  </si>
  <si>
    <t>Norkko, Alf/K-2341-2019; andrew, neil/AAG-6360-2020; Norkko, Alf/L-8736-2019; Andrew, Neil/B-8614-2009; Norkko, Alf/A-1856-2012</t>
  </si>
  <si>
    <t>andrew, neil/0000-0002-2337-8722; Cummings, Vonda/0000-0003-1076-3995; Thrush, Simon/0000-0002-4005-3882; Norkko, Alf/0000-0002-9741-4458</t>
  </si>
  <si>
    <t>ECOLOGICAL SOC AMER</t>
  </si>
  <si>
    <t>1707 H ST NW, STE 400, WASHINGTON, DC 20006-3915 USA</t>
  </si>
  <si>
    <t>0012-9658</t>
  </si>
  <si>
    <t>10.1890/06-1396.1</t>
  </si>
  <si>
    <t>233CL</t>
  </si>
  <si>
    <t>WOS:000251067900018</t>
  </si>
  <si>
    <t>Yergeau, E; Newsham, KK; Pearce, DA; Kowalchuk, GA</t>
  </si>
  <si>
    <t>Yergeau, Etienne; Newsham, Kevin K.; Pearce, David A.; Kowalchuk, George A.</t>
  </si>
  <si>
    <t>Patterns of bacterial diversity across a range of Antarctic terrestrial habitats</t>
  </si>
  <si>
    <t>ENVIRONMENTAL MICROBIOLOGY</t>
  </si>
  <si>
    <t>16S RIBOSOMAL-RNA; SOIL BACTERIA; BACTERIOPLANKTON COMMUNITY; MICROBIAL DIVERSITY; VASCULAR PLANTS; ALIENATED ZONE; GENES; LAKE; BIODIVERSITY; SEQUENCES</t>
  </si>
  <si>
    <t>Although soil-borne bacteria represent the world's greatest source of biological diversity, it is not well understood whether extreme environmental conditions, such as those found in Antarctic habitats, result in reduced soil-borne microbial diversity. To address this issue, patterns of bacterial diversity were studied in soils sampled along a &gt; 3200 km southern polar transect spanning a gradient of increased climate severity over 27 degrees of latitude. Vegetated and fell-field plots were sampled at the Falkland (51 degrees S), South Georgia (54 degrees S), Signy (60 degrees S) and Anchorage Islands (67 degrees S), while bare frost-sorted soil polygons were examined at Fossil Bluff (71 degrees S), Mars Oasis (72 degrees S), Coal Nunatak (72 degrees S) and the Ellsworth Mountains (78 degrees S). Bacterial 16S rRNA gene sequences were recovered subsequent to direct DNA extraction from soil, polymerase chain reaction amplification and cloning. Although bacterial diversity was observed to decline with increased latitude, habitat-specific patterns appeared to also be important. Namely, a negative relationship was found between bacterial diversity and latitude for fell-field soils, but no such pattern was observed for vegetated sites. The Mars Oasis site, previously identified as a biodiversity hotspot within this region, proved exceptional within the study transect, with unusually high bacterial diversity. In independent analyses, geographical distance and vegetation cover were found to significantly influence bacterial community composition. These results provide insight into the factors shaping the composition of bacterial communities in Antarctic terrestrial habitats and support the notion that bacterial diversity declines with increased climatic severity.</t>
  </si>
  <si>
    <t>Netherlands Inst Ecol NIOO KNAW, Ctr Terr Ecol, NL-6666 GA Heteren, Netherlands; British Antarctic Survey, NERC, Cambridge CB3 0ET, England; Free Univ Amsterdam, Inst Ecol Sci, NL-1081 HV Amsterdam, Netherlands</t>
  </si>
  <si>
    <t>Kowalchuk, GA (corresponding author), Netherlands Inst Ecol NIOO KNAW, Ctr Terr Ecol, Boterhoeksestr 48, NL-6666 GA Heteren, Netherlands.</t>
  </si>
  <si>
    <t>g.kowalchuk@nioo.knaw.nl</t>
  </si>
  <si>
    <t>Yergeau, Etienne/AAZ-6145-2020; Newsham, Kevin K/C-4192-2011; Yergeau, Etienne/B-5344-2008; Kowalchuk, George A/C-4298-2011</t>
  </si>
  <si>
    <t>Yergeau, Etienne/0000-0002-7112-3425; Pearce, David/0000-0001-5292-4596; Kowalchuk, George/0000-0003-3866-0832</t>
  </si>
  <si>
    <t>NERC [bas010020] Funding Source: UKRI; Natural Environment Research Council [bas010020] Funding Source: researchfish</t>
  </si>
  <si>
    <t>1462-2912</t>
  </si>
  <si>
    <t>1462-2920</t>
  </si>
  <si>
    <t>ENVIRON MICROBIOL</t>
  </si>
  <si>
    <t>Environ. Microbiol.</t>
  </si>
  <si>
    <t>10.1111/j.1462-2920.2007.01379.x</t>
  </si>
  <si>
    <t>218BG</t>
  </si>
  <si>
    <t>WOS:000249990400003</t>
  </si>
  <si>
    <t>Pini, F; Grossi, C; Nereo, S; Michaud, L; Lo Giudice, A; Bruni, V; Baldi, F; Fani, R</t>
  </si>
  <si>
    <t>Pini, Francesco; Grossi, Cristina; Nereo, Sabrina; Michaud, Luigi; Lo Giudice, Angelina; Bruni, Vivia; Baldi, Franco; Fani, Renato</t>
  </si>
  <si>
    <t>Molecular and physiological characterisation of psychrotrophic hydrocarbon-degrading bacteria isolated from Terra Nova Bay (Antarctica)</t>
  </si>
  <si>
    <t>EUROPEAN JOURNAL OF SOIL BIOLOGY</t>
  </si>
  <si>
    <t>3rd European Bioremediation Conference</t>
  </si>
  <si>
    <t>JUL 04-07, 2005</t>
  </si>
  <si>
    <t>Khania, GREECE</t>
  </si>
  <si>
    <t>n-alkanes; 16S rDNA; RAPD; ARDRA; alk genes; biosurfactants</t>
  </si>
  <si>
    <t>SP. STRAIN ADP1; ALKANE HYDROXYLASE; SEQUENCE ALIGNMENT; MARINE-BACTERIA; DIESEL; BIOTRANSFORMATIONS; BIODEGRADATION; IDENTIFICATION; GENETICS; GENES</t>
  </si>
  <si>
    <t>A set of 21 Antarctic marine bacteria isolated from the Ross Sea and able to utilise diesel fuel as the sole carbon and energy source was characterised. Isolates were analysed by amplified 16S rDNA restriction analysis using the enzyme AluI, resulting in two different groups corresponding to different bacterial species. These species were assigned to the genera Rhodococcus and Alcaligenes, on the basis of 16S rDNA sequencing. This low degree of inter-specific biodiversity was parallel to a low intra-specific biodiversity, as shown by Random Amplified Polymorphic DNA analysis. Then, a 550-bp DNA fragment coding for the inner region of alkane mono-oxygenase was PCR-amplified from the genome of each strain. The phylogenetic analysis of the sequence of the putative AlkB protein coded for by the amplified DNA fragment revealed that these alkB genes were very likely inherited by horizontal gene transfer. Lastly, the analysis of the biodegradation ability of four strains revealed two different strategies of hydrocarbon uptake, mediated either by bio-surfactants and peculiar of Rhodococcus isolates, or by membrane modifications and shown by Alcaligenes isolates. In order to understand the interrelationships between hydrocarbon-degrading isolates, the dynamics of two strains, belonging to Rhodococcus and Alcaligenes, grown together in a co-culture was also followed over a seventeen days period. (c) 2007 Elsevier Masson SAS. All rights reserved.</t>
  </si>
  <si>
    <t>[Pini, Francesco; Grossi, Cristina; Nereo, Sabrina; Fani, Renato] Univ Florence, Dipartimento Biol Anim &amp; Genet, I-50125 Florence, Italy; [Michaud, Luigi; Lo Giudice, Angelina; Bruni, Vivia] Univ Messina, Dept Anim Biol &amp; Marine Ecol, I-98166 Messina, Italy; [Baldi, Franco] Ca Foscari Univ, Dept Environm Sci, I-30123 Venice, Italy</t>
  </si>
  <si>
    <t>University of Florence; University of Messina; Universita Ca Foscari Venezia</t>
  </si>
  <si>
    <t>Fani, R (corresponding author), Univ Florence, Dipartimento Biol Anim &amp; Genet, Via Romana 18-19, I-50125 Florence, Italy.</t>
  </si>
  <si>
    <t>r_fani@dbag.unifi.it</t>
  </si>
  <si>
    <t>Mengoni, Alessio/G-5336-2013; Pini, Francesco/E-9630-2015</t>
  </si>
  <si>
    <t>Mengoni, Alessio/0000-0002-1265-8251; Pini, Francesco/0000-0001-5323-8395</t>
  </si>
  <si>
    <t>ELSEVIER FRANCE-EDITIONS SCIENTIFIQUES MEDICALES ELSEVIER</t>
  </si>
  <si>
    <t>ISSY-LES-MOULINEAUX</t>
  </si>
  <si>
    <t>65 RUE CAMILLE DESMOULINS, CS50083, 92442 ISSY-LES-MOULINEAUX, FRANCE</t>
  </si>
  <si>
    <t>1164-5563</t>
  </si>
  <si>
    <t>1778-3615</t>
  </si>
  <si>
    <t>EUR J SOIL BIOL</t>
  </si>
  <si>
    <t>Eur. J. Soil Biol.</t>
  </si>
  <si>
    <t>NOV-DEC</t>
  </si>
  <si>
    <t>10.1016/j.ejsobi.2007.03.012</t>
  </si>
  <si>
    <t>Ecology; Soil Science</t>
  </si>
  <si>
    <t>Environmental Sciences &amp; Ecology; Agriculture</t>
  </si>
  <si>
    <t>241VN</t>
  </si>
  <si>
    <t>WOS:000251684000014</t>
  </si>
  <si>
    <t>Cresswell, KA; Tarling, GA; Tratham, PN</t>
  </si>
  <si>
    <t>Cresswell, Katherine A.; Tarling, Geraint A.; Tratham, Philip N.</t>
  </si>
  <si>
    <t>Weight loss during breeding is adaptive for female macaroni penguins, Eudyptes chrysolophus</t>
  </si>
  <si>
    <t>EVOLUTIONARY ECOLOGY RESEARCH</t>
  </si>
  <si>
    <t>behaviour; chick provisioning; Eudyptes chrysolophus; Euphausia superba; fitness; foraging; predator; prey; stochastic dynamic programming; variability</t>
  </si>
  <si>
    <t>KRILL EUPHAUSIA-SUPERBA; ANTARCTIC KRILL; SOUTH-GEORGIA; ROCKHOPPER PENGUINS; REPRODUCTIVE SUCCESS; ENERGY-REQUIREMENTS; CHINSTRAP PENGUINS; FORAGING RANGE; PARENTAL CARE; BIRD-ISLAND</t>
  </si>
  <si>
    <t>Question: How does the female macaroni penguin balance her own needs with those of her chick during breeding? Features of the model: We model the behaviour of female macaroni penguins during a sensitive life-history stage as a function of the availability of their main prey species, Antarctic krill (Euphausia superba), using stochastic dynamic programming. In the model, females maximize accumulated delivery to the chick, accounting for metabolic losses. Chick fullness is included as a state in the model. Range of key variables: We test three scenarios for krill availability, which changes with distance from the nest. In the first, krill abundance increases with distance from the nest, with no variability in the reward at each distance. In the second, variability increases proportionally with the increasing amount of krill available at each distance from the nest. In the third, the abundance of krill at each distance from the nest is constant, but variability decreases further from the nest. Conclusions: Natural selection should produce females that sacrifice their own condition to meet the increasing demands of their chicks. We predict a weight loss of 10-20%, which is comparable to the empirical average of 14%. We also predict that females will endure the cost of travelling further from the nest to obtain a more predictable meal of krill, even if the mean reward does not change with distance from the nest.</t>
  </si>
  <si>
    <t>Cresswell, KA (corresponding author), Univ Calif Santa Cruz, Sch Engn, Santa Cruz, CA 95064 USA.</t>
  </si>
  <si>
    <t>kcre@soe.ucsc.edu</t>
  </si>
  <si>
    <t>EVOLUTIONARY ECOLOGY LTD</t>
  </si>
  <si>
    <t>TUCSON</t>
  </si>
  <si>
    <t>UNIV ARIZONA, 321 BIOSCIENCES WEST, TUCSON, AZ 85721 USA</t>
  </si>
  <si>
    <t>1522-0613</t>
  </si>
  <si>
    <t>1937-3791</t>
  </si>
  <si>
    <t>EVOL ECOL RES</t>
  </si>
  <si>
    <t>Evol. Ecol. Res.</t>
  </si>
  <si>
    <t>234WJ</t>
  </si>
  <si>
    <t>WOS:000251194600001</t>
  </si>
  <si>
    <t>Kawamoto, J; Kurihara, T; Kitagawa, M; Kato, I; Esaki, N</t>
  </si>
  <si>
    <t>Kawamoto, Jun; Kurihara, Tatsuo; Kitagawa, Masanari; Kato, Ikunoshin; Esaki, Nobuyoshi</t>
  </si>
  <si>
    <t>Proteomic studies of an Antarctic cold-adapted bacterium, Shewanella livingstonensis Ac10, for global identification of cold-inducible proteins</t>
  </si>
  <si>
    <t>cold-adapted bacterium; cold adaptation; cold-inducible proteins; proteomics; Shewanella livingstonensis</t>
  </si>
  <si>
    <t>ESCHERICHIA-COLI; GENOME SEQUENCE; LOW-TEMPERATURE; RNA-POLYMERASE; TRIGGER FACTOR; GENE; ADAPTATION; CSPA; ARCHAEON; FAMILY</t>
  </si>
  <si>
    <t>Proteomic analysis of a cold-adapted bacterium, Shewanella livingstonensis Ac10, isolated from Antarctic seawater was carried out to elucidate its coldadaptation mechanism. The cells were grown at 4 degrees C and 18 degrees C, and soluble and membrane proteins were analyzed by two-dimensional gel electrophoresis. At 4 degrees C, the relative abundance of 47 soluble proteins and five membrane proteins increased more than twofold, and these proteins were analyzed by peptide mass fingerprinting. Twenty-six soluble proteins and two membrane proteins were identified. These included proteins involved in RNA synthesis and folding (RpoA, GreA, and CspA), protein synthesis and folding (TufB, Efp, LysU, and Tig), membrane transport (OmpA and OmpC), and motility (FlgE and FlgL). Cold-inducible RpoA, GreA, and CspA may be required for efficient and accurate transcription and proper folding of RNA at low temperatures, where base pairing of nucleic acids is stable and undesired secondary structures of RNA tend to form. Tig is supposed to have peptidyl-prolyl cis-trans isomerase activity and facilitate proper folding of proteins at low temperatures. The cold induction of OmpA and OmpC is likely to counteract the low diffusion rate of solutes at low temperatures and enables the efficient uptake of nutrients. These results provided many clues to understand microbial cold-adaptation mechanisms.</t>
  </si>
  <si>
    <t>[Kawamoto, Jun; Kurihara, Tatsuo; Esaki, Nobuyoshi] Kyoto Univ, Inst Chem Res, Uji, Kyoto 611, Japan; [Kitagawa, Masanari; Kato, Ikunoshin] Takara Bio Inc, Otsu, Shiga 520, Japan</t>
  </si>
  <si>
    <t>Kyoto University; Takara Bio Inc.</t>
  </si>
  <si>
    <t>Kurihara, T (corresponding author), Kyoto Univ, Inst Chem Res, Uji, Kyoto 611, Japan.</t>
  </si>
  <si>
    <t>kurihara@scl.kyoto-u.ac.jp; esakin@scl.kyoto-u.ac.jp</t>
  </si>
  <si>
    <t>Kurihara, Tatsuo/ACX-5827-2022</t>
  </si>
  <si>
    <t>Kawamoto, Jun/0000-0002-5025-5613</t>
  </si>
  <si>
    <t>10.1007/s00792-007-0098-6</t>
  </si>
  <si>
    <t>240HG</t>
  </si>
  <si>
    <t>WOS:000251578100008</t>
  </si>
  <si>
    <t>Williams, M; Haywood, AM; Vautravers, M; Sellwood, BW; Hillenbrand, CD; Wilkinson, IP; Miller, CG</t>
  </si>
  <si>
    <t>Williams, Mark; Haywood, Alan M.; Vautravers, Maryline; Sellwood, Bruce W.; Hillenbrand, Claus-Dieter; Wilkinson, Ian P.; Miller, C. Giles</t>
  </si>
  <si>
    <t>Relative effect of taphonomy on calcification temperature estimates from fossil planktonic foraminifera</t>
  </si>
  <si>
    <t>GEOBIOS</t>
  </si>
  <si>
    <t>core top; fossil; planktonic foraminifera; dissolution; diagenesis</t>
  </si>
  <si>
    <t>SEA-SURFACE TEMPERATURES; STABLE-ISOTOPE VARIABILITY; ART. NO. 1022; GLOBIGERINOIDES-SACCULIFER; OXYGEN ISOTOPES; DELTA-O-18 DATA; OCEAN; PRESERVATION; CARBONATE; CALCITE</t>
  </si>
  <si>
    <t>This paper explores the effects of preservation and taphonomy on the ultrastructure of recent and fossil (Quaternary and Neogene) Globigerinoides using scanning electron microscopy and thin section petrography. We show preservation states from: pristine (plankton tow) specimens that are glassy, have a microcrystalline test structure, and bear sharply defined interpore ridges with delicate spines; through core top and fossil specimens that have gametogenic calcite veneers of euhedral or lumpy deposits covering the interpore ridges and spine bases; to fossil material with extensive dissolution of the test wall and diagenetic calcite formed during shallow burial (less than 300 m below the sea floor). The latter produce it grainy texture to the test. Although we cannot unravel the precise effects of ecology and taphonomy on calcification temperature at every site, we show that for well-preserved fossil material with gametogenic calcite, temperature estimates are typically 2-3 degrees C cooler than modern sea surface, and are similar to those recorded using the delta(18)Oof core top material from tropical latitudes. In contrast, at tropical sites with poor fossil preservation, estimates of calcification temperature are significantly cooler, sometimes by more than 10 degrees C than expected From present observations. (c) 2007 Elsevier Masson SAS. All rights reserved.</t>
  </si>
  <si>
    <t>[Williams, Mark] Univ Leicester, Dept Geol, Leicester LE1 7RH, Leics, England; [Williams, Mark; Haywood, Alan M.; Vautravers, Maryline; Hillenbrand, Claus-Dieter] British Antarctic Survey, Geol Sci Div, Cambridge CB3 0ET, England; [Haywood, Alan M.] Univ Leeds, Sch Earth &amp; Environm, Leeds LS2 9JT, W Yorkshire, England; [Sellwood, Bruce W.] Sch Human &amp; Environm Sci, Reading RG6 6AB, Berks, England; [Wilkinson, Ian P.] British Geol Survey, Keyworth NG12 5GG, Notts, England; [Miller, C. Giles] Nat Hist Museum, Dept Palaeontol, London SW7 5BD, England</t>
  </si>
  <si>
    <t>University of Leicester; UK Research &amp; Innovation (UKRI); Natural Environment Research Council (NERC); NERC British Antarctic Survey; University of Leeds; University of Reading; UK Research &amp; Innovation (UKRI); Natural Environment Research Council (NERC); NERC British Geological Survey; Natural History Museum London</t>
  </si>
  <si>
    <t>Williams, M (corresponding author), Univ Leicester, Dept Geol, Leicester LE1 7RH, Leics, England.</t>
  </si>
  <si>
    <t>mri@le.ac.uk</t>
  </si>
  <si>
    <t>; Miller, Giles/C-5160-2012; Williams, Mark/B-7590-2009</t>
  </si>
  <si>
    <t>Mleneck-Vautravers, Maryline/0000-0003-2534-219X; Miller, Giles/0000-0001-9111-2136; Williams, Mark/0000-0002-7987-6069</t>
  </si>
  <si>
    <t>NERC [bas010019] Funding Source: UKRI; Natural Environment Research Council [bas010019] Funding Source: researchfish</t>
  </si>
  <si>
    <t>0016-6995</t>
  </si>
  <si>
    <t>1777-5728</t>
  </si>
  <si>
    <t>GEOBIOS-LYON</t>
  </si>
  <si>
    <t>Geobios</t>
  </si>
  <si>
    <t>10.1016/j.geobios.2007.02.007</t>
  </si>
  <si>
    <t>248XH</t>
  </si>
  <si>
    <t>WOS:000252190000014</t>
  </si>
  <si>
    <t>Lewis, AR; Marchant, DR; Ashworth, AC; Hemming, SR; Machlus, ML</t>
  </si>
  <si>
    <t>Lewis, A. R.; Marchant, D. R.; Ashworth, A. C.; Hemming, S. R.; Machlus, M. L.</t>
  </si>
  <si>
    <t>Major middle Miocene global climate change: Evidence from East Antarctica and the Transantarctic Mountains</t>
  </si>
  <si>
    <t>GEOLOGICAL SOCIETY OF AMERICA BULLETIN</t>
  </si>
  <si>
    <t>alpine glaciers; geomorphology; Dry Valleys; Miocene; till; volcanic ash; Antarctica; Olympus Range; cold-based glaciers</t>
  </si>
  <si>
    <t>MCMURDO DRY VALLEYS; ICE-SHEET; SIRIUS GROUP; BEACON VALLEY; LANDSCAPE EVOLUTION; VICTORIA LAND; ROSS SEA; GLACIER; HISTORY; PALEOCLIMATE</t>
  </si>
  <si>
    <t>We present a glacial record from the western Olympus Range, East Antarctica, that documents a permanent shift in the thermal regime of local glaciers, from wet- to cold-based regimes, more than 13.94 m.y. ago. This glacial record provides the first terrestrial evidence linking middle Miocene global climate cooling to a permanent reorganization of the Antarctic cryosphere and to subsequent growth of the polar East Antarctic Ice Sheet. The composite stratigraphic record constructed from field mapping and analyses of 281 soil excavations shows a classic wet-based till (Circe till, including an extensive melt-out facies), overlain by a weathered colluvial deposit (Electra colluvium), and then a series of stacked tills deposited from cold-based ice (Dido drift). Chronologic control comes from 40Ar/39Ar analyses of concentrated ash-fall deposits interbedded within glacial deposits. The shift from wet- to cold-based glaciation reflects a drop in mean annual temperature of 25-30 degrees C and is shown to precede one or more major episodes of ice-sheet expansion across the region, the youngest of which occurred between 13.62 and 12.44 Ma. One implication is that atmospheric cooling, following a relatively warm mid-Miocene climatic optimum ca. 17 to 15 Ma, may have led to, and thus triggered, maximum ice-sheet overriding.</t>
  </si>
  <si>
    <t>Boston Univ, Dept Earth Sci, Boston, MA 02215 USA; Columbia Univ, Lamont Doherty Geol Observ, Palisades, NY 10964 USA</t>
  </si>
  <si>
    <t>Boston University; Columbia University</t>
  </si>
  <si>
    <t>Lewis, AR (corresponding author), N Dakota State Univ, Dept Geosci, Fargo, ND 58105 USA.</t>
  </si>
  <si>
    <t>adam.r.lewis.l@ndsu.edu</t>
  </si>
  <si>
    <t>Machlus, Malka/0000-0001-9471-1425</t>
  </si>
  <si>
    <t>GEOLOGICAL SOC AMER, INC</t>
  </si>
  <si>
    <t>PO BOX 9140, BOULDER, CO 80301-9140 USA</t>
  </si>
  <si>
    <t>0016-7606</t>
  </si>
  <si>
    <t>1943-2674</t>
  </si>
  <si>
    <t>GEOL SOC AM BULL</t>
  </si>
  <si>
    <t>Geol. Soc. Am. Bull.</t>
  </si>
  <si>
    <t>11-12</t>
  </si>
  <si>
    <t>10.1130/0016-7606(2007)119[1449:MMMGCC]2.0.CO;2</t>
  </si>
  <si>
    <t>225UN</t>
  </si>
  <si>
    <t>WOS:000250543800010</t>
  </si>
  <si>
    <t>Paulsen, TS; Encarnación, J; Grunow, AM; Layer, PW; Watkeys, M</t>
  </si>
  <si>
    <t>Paulsen, T. S.; Encarnacion, J.; Grunow, A. M.; Layer, P. W.; Watkeys, M.</t>
  </si>
  <si>
    <t>New age constraints for a short pulse in Ross orogen deformation triggered by East-West Gondwana suturing</t>
  </si>
  <si>
    <t>GONDWANA RESEARCH</t>
  </si>
  <si>
    <t>Ross orogen; deformation; timing; 40Ar-39Ar; Gondwana; Antarctica</t>
  </si>
  <si>
    <t>CENTRAL TRANSANTARCTIC MOUNTAINS; SOUTHERN VICTORIA-LAND; GLACIER AREA; PENSACOLA MOUNTAINS; ANTARCTIC MARGIN; SHACKLETON LIMESTONE; DELAMERIAN OROGENY; BEARDMORE GROUP; PACIFIC MARGIN; POLAR WANDER</t>
  </si>
  <si>
    <t>Constraints on the timing of deformation within the Antarctic Ross orogenic belt are important for understanding early Paleozoic tectonic activity accompanying the assembly of Gondwana. One of the best areas for constraining the tectonic evolution of the Ross orogenic belt is the Holyoake Range in the central Transantarctic Mountains where previous work shows an abrupt change in the stratigraphic succession of the Cambrian Byrd Group possibly related to the inception of tectonism within the orogen at similar to 515 Ma. To further constrain deformational timing, we conducted 40Ar-39Ar analyses on magmatic phases of the Holyoake Gabbro, which cross-cuts folded Lower Cambrian Shackleton Limestone of the Byrd Group. Our analyses yield average ages of 506.7 +/- 3.6 Ma (2 sigma; MSWD=0.9) and 504.1 +/- 2.4 Ma (2 sigma; MSWD=1.3) for hornblende from the early and late magmatic phases, respectively. Deformation of the Shackleton Limestone therefore occurred prior to 506.7 3.6 Ma, which is similar to 12 m.y. after the siliciclastic drowning of the carbonate platfonn inferred to record the start of Ross tectonism in the central Transantarctic Mountains. On a regional scale, the data are consistent with a short pulse of deformation, which was probably related to global plate motion changes following final suturing of East and West Gondwana. (c) 2007 International Association for Gondwana Research. Published by Elsevier B.V. All rights reserved.</t>
  </si>
  <si>
    <t>Univ Wisconsin, Dept Geol, Oshkosh, WI 54901 USA; St Louis Univ, Dept Earth &amp; Atmospher Sci, St Louis, MO 63108 USA; Ohio State Univ, Byrd Polar Res Ctr, Columbus, OH 43210 USA; Univ Alaska Fairbanks, Inst Geophys, Fairbanks, AK 99775 USA; Univ Kwazulu Natal, Sch Geol Sci, ZA-4041 Durban, South Africa</t>
  </si>
  <si>
    <t>University of Wisconsin System; Saint Louis University; University System of Ohio; Ohio State University; University of Alaska System; University of Alaska Fairbanks; University of Kwazulu Natal</t>
  </si>
  <si>
    <t>Paulsen, TS (corresponding author), Univ Wisconsin, Dept Geol, 800 Algoma Blvd, Oshkosh, WI 54901 USA.</t>
  </si>
  <si>
    <t>paulsen@uwosh.edu</t>
  </si>
  <si>
    <t>Layer, Paul W/F-5465-2010; Grunow, Anne/F-7844-2017</t>
  </si>
  <si>
    <t>Grunow, Anne/0000-0002-1655-0424</t>
  </si>
  <si>
    <t>1342-937X</t>
  </si>
  <si>
    <t>1878-0571</t>
  </si>
  <si>
    <t>GONDWANA RES</t>
  </si>
  <si>
    <t>Gondwana Res.</t>
  </si>
  <si>
    <t>10.1016/j.gr.2007.05.011</t>
  </si>
  <si>
    <t>238KV</t>
  </si>
  <si>
    <t>WOS:000251447400006</t>
  </si>
  <si>
    <t>Robiginftomaculum antarcticum gen. nov., sp nov., a member of the family Hyphomonadaceae, from Antarctic seawater</t>
  </si>
  <si>
    <t>MARINE BACTERIUM; FAM. NOV.; PHYLOGENY; PROPOSAL; TREES</t>
  </si>
  <si>
    <t>A seawater bacterium, designated IMCC3195(T), was isolated from the Antarctic coast. Cells of the novel strain were Gram-negative, rusty-coloured, strictly aerobic, chemoheterotrophic, non-budding and non-motile rods or vibrioids that possessed a thin prostheca. Based on 16S rRNA gene sequence comparisons, the novel strain was most closely related to the genera Hyphomonas (89.4-90.9%), Maricaulis (90.1-90.4%), Hirschia (89.0%) and Oceanicaulis (87.9 %) of the family Hyphomonadaceae. Phylogenetic analyses also showed the Antarctic isolate to be only distantly related to the genera of stalked bacteria of marine origin in the family Hyphomonadaceae. The DNA G + C content of the novel strain was 60.3 mol% and the predominant cellular fatty acids were C-18:1 omega 7c (41.9 %), C-17:1 omega 8c (21.4 %) and C-17:0(114.3 %). The major quinone was Q-10. Several phenotypic and chemotaxonomic characteristics, including optimum temperature and salinity range for growth, cell morphology, pigmentation and fatty acid content, differentiated the novel strain from other related genera in the family Hyphomonadaceae. From the taxonomic evidence collected in this study, it is suggested that strain IMCC3195(T) (=KCCM 42687(T) =NBRC 103098(T)) represents a new genus and novel species in the family Hyphomonadaceae, for which the name Robiginitomaculum antarcticum gen. nov., sp. nov. is proposed.</t>
  </si>
  <si>
    <t>Inha Univ, Div Biol &amp; Ocean Sci, Inchon 402751, South Korea; Korea Polar Res Inst, Polar BioCtr, Inchon 406840, South Korea</t>
  </si>
  <si>
    <t>Inha University; Korea Institute of Ocean Science &amp; Technology (KIOST); Korea Polar Research Institute (KOPRI)</t>
  </si>
  <si>
    <t>10.1099/ijs.0.65274-0</t>
  </si>
  <si>
    <t>238FO</t>
  </si>
  <si>
    <t>WOS:000251432900027</t>
  </si>
  <si>
    <t>Vela, AI; Fernandez, A; Sánchez-Porro, C; Sierra, E; Mendez, M; Arbelo, M; Ventosa, A; Domínguez, L; Fernández-Garayzábal, JF</t>
  </si>
  <si>
    <t>Vela, A. I.; Fernandez, A.; Sanchez-Porro, C.; Sierra, E.; Mendez, M.; Arbelo, M.; Ventosa, A.; Dominguez, L.; Fernandez-Garayzabal, J. F.</t>
  </si>
  <si>
    <t>Flavobacterium ceti sp nov., isolated frombeaked whales (Ziphius cavirostris)</t>
  </si>
  <si>
    <t>DEOXYRIBONUCLEIC ACID; EMENDED DESCRIPTION; ANTARCTIC LAKES; MICROBIAL MATS; RECLASSIFICATION; BACTERIA; MYROIDES; SEAWATER; FAMILY; SOILS</t>
  </si>
  <si>
    <t>Three isolates of a Gram-negative, catalase- and oxidase-positive, rod-shaped bacterium, isolated from the lung and liver of two beaked whales, were characterized by phenotypic and molecular genetic methods. Based on cellular morphology and biochemical criteria, the isolates were tentatively assigned to the family Flavobacteriaceae, although they did not appear to correspond to any recognized species. Comparative 16S rRNA gene sequencing showed that the three new isolates shared 100 % sequence similarity. The unknown bacterium was phylogenetically closely related to, but distinct from the type strains of Flavobacterium johnsoniae (93.7 % sequence similarity), Flavobacterium frigidimaris (93.4 %), Flavobacterium aquidurense (93.4 Flavobacterium hibernum (93.4 %) and Flavobacterium degerlachei (93.4 %). The novel isolates were readily distinguished from these and other related Flavobacterium species by physiological and biochemical tests. On the basis of phenotypic and phylogenetic evidence, it is proposed that the unknown isolates from whales are classified as a novel species of the genus Flavobacterium, Flavobacterium ceti sp. nov. The type strain is 454-2(T) (=CECT 7184(T) =CCUG 52969(T)).</t>
  </si>
  <si>
    <t>Univ Complutense, Fac Vet, Dept Sanidad Anim, E-28040 Madrid, Spain; Univ Las Palmas Gran Canaria, Fac Vet, Inst Univ Sanidad Anim, Dept Anat Patol, Gran Canaria 35016, Spain; Univ Seville, Fac Farm, Dept Microbiol &amp; Parasitol, E-41012 Seville, Spain</t>
  </si>
  <si>
    <t>Complutense University of Madrid; Universidad de Las Palmas de Gran Canaria; University of Sevilla</t>
  </si>
  <si>
    <t>Fernández-Garayzábal, JF (corresponding author), Univ Complutense, Fac Vet, Dept Sanidad Anim, E-28040 Madrid, Spain.</t>
  </si>
  <si>
    <t>garayzab@vet.ucm.es</t>
  </si>
  <si>
    <t>Ventosa, Antonio/K-8239-2017; Sierra, Eva/H-9352-2015; Arbelo, Manuel/D-6789-2013; Sanchez, Cristina/K-8027-2017; Fernandez, Antonio/G-3448-2015; FERNANDEZ-GARAYZABAL, JOSE FRANCISCO/K-9611-2014; Vela, Ana Isabel/K-8015-2014; Dominguez Rodriguez, Lucas/B-9668-2014</t>
  </si>
  <si>
    <t>Ventosa, Antonio/0000-0002-7573-0556; Sierra, Eva/0000-0003-3749-8845; Arbelo, Manuel/0000-0002-1623-5010; Sanchez, Cristina/0000-0002-1834-1239; Fernandez, Antonio/0000-0001-5281-0521; FERNANDEZ-GARAYZABAL, JOSE FRANCISCO/0000-0003-1597-0643; Vela, Ana Isabel/0000-0001-5004-3103; Dominguez Rodriguez, Lucas/0000-0001-8843-0010</t>
  </si>
  <si>
    <t>MICROBIOLOGY SOC</t>
  </si>
  <si>
    <t>CHARLES DARWIN HOUSE, 12 ROGER ST, LONDON WC1N 2JU, ERKS, ENGLAND</t>
  </si>
  <si>
    <t>1466-5034</t>
  </si>
  <si>
    <t>10.1099/ijs.0.65154-0</t>
  </si>
  <si>
    <t>WOS:000251432900029</t>
  </si>
  <si>
    <t>Bozal, N; Montes, MJ; Mercadé, E</t>
  </si>
  <si>
    <t>Bozal, Nuria; Montes, M. Jesus; Mercade, Elena</t>
  </si>
  <si>
    <t>Pseudomonas guineae sp nov., a novel psychrotolerant bacterium from an Antarctic environment</t>
  </si>
  <si>
    <t>DEOXYRIBONUCLEIC-ACID; HYBRIDIZATION; DNA</t>
  </si>
  <si>
    <t>Two Gram-negative, cold-adapted, aerobic bacteria, designated strains M8(T) and M6, were isolated from soil collected from the South Shetland Islands. The organisms were rod-shaped, catalase- and oxidase-positive and motile by means of polar flagella. These two psychrotolerant strains grew between -4 and 30 degrees C. 16S rRNA gene sequence analysis placed strains M8(T) and M6 within the genus Pseudomonas. DNA-DNA hybridization experiments between the Antarctic isolate M8(T) and type strains of phylogenetically related species, namely Pseudomonas peli and Pseudomonas anguilliseptica, revealed levels of relatedness of 33 and 37 %, respectively. Strain M6 showed 99 % DNA similarity to strain M8(T). Several phenotypic characteristics, together with data on cellular fatty acid composition, served to differentiate strains M8(T) and M6 from related pseudomonads. On the basis of the polyphasic taxonomic evidence presented in this study, it can be concluded that strains M8(T) and M6 belong to the same genospecies, representing a novel species of the genus Pseudomonas, for which the name Pseudomonas guineae sp. nov. is proposed. The type strain is M8(T) (=LMG 24016(T)= CECT 7231(T)).</t>
  </si>
  <si>
    <t>Univ Barcelona, Fac Farm, Microbiol Lab, E-08028 Barcelona, Spain</t>
  </si>
  <si>
    <t>University of Barcelona</t>
  </si>
  <si>
    <t>Mercadé, E (corresponding author), Univ Barcelona, Fac Farm, Microbiol Lab, Av Joan XXIII S-N, E-08028 Barcelona, Spain.</t>
  </si>
  <si>
    <t>mmercade@ub.edu</t>
  </si>
  <si>
    <t>DE FEBRER, NURIA N.B.F. BOZAL/L-7456-2014; Montes, Mª Jesús/L-6430-2014; Mercade, Elena/L-5218-2014</t>
  </si>
  <si>
    <t>Mercade, Elena/0000-0001-7828-2210</t>
  </si>
  <si>
    <t>10.1099/ijs.0.65141-0</t>
  </si>
  <si>
    <t>WOS:000251432900030</t>
  </si>
  <si>
    <t>Seefeldt, MW; Cassano, JJ; Parish, TR</t>
  </si>
  <si>
    <t>Seefeldt, Mark W.; Cassano, John J.; Parish, Thomas R.</t>
  </si>
  <si>
    <t>Dominant regimes of the Ross Ice Shelf surface wind field during austral autumn 2005</t>
  </si>
  <si>
    <t>JOURNAL OF APPLIED METEOROLOGY AND CLIMATOLOGY</t>
  </si>
  <si>
    <t>MESOSCALE-PREDICTION-SYSTEM; POLAR MM5 SIMULATIONS; KATABATIC WINDS; ATMOSPHERIC CIRCULATION; NUMERICAL-SIMULATION; WEDDELL SEA; ANTARCTICA; CLASSIFICATION; GREENLAND; ISLAND</t>
  </si>
  <si>
    <t>An analysis of the surface wind field across the Ross Ice Shelf, Antarctica, is conducted for austral autumn 2005. The airflow is divided into dominant wind regimes identifying similar wind patterns and the associated typical atmospheric forcing. The results of previous research and a seasonal analysis of the recently expanded network of automatic weather stations in the Ross Ice Shelf region are used to define the dominant wind regimes. Events composing each wind regime are identified by matching wind speed and wind direction observations at several automatic weather station sites for durations of at least 10 h. The four different dominant wind regimes are barrier wind, strong katabatic, weak katabatic, and light wind. Each wind regime is studied through the use of wind rose plots and sea level pressure fields from the Antarctic Mesoscale Prediction System. The sea level pressure fields are used to characterize the forcing of the surface wind field by synoptic pressure gradients. The four dominant wind regimes result in classifying less than 50% of the total hours for austral autumn 2005. The results indicate that previous studies of the Ross Ice Shelf surface wind field, focusing on katabatic winds and barrier winds, represent less than one-half of the observed winds. This study provides a better understanding of the composition of the surface wind field in Antarctica and more insight into the characteristics of the Ross Ice Shelf airstream.</t>
  </si>
  <si>
    <t>[Seefeldt, Mark W.; Cassano, John J.] Univ Colorado, Cooperat Inst Res Environm Sci, Boulder, CO 80309 USA; [Seefeldt, Mark W.; Cassano, John J.] Univ Colorado, Dept Atmospher &amp; Ocean Sci, Boulder, CO 80309 USA; [Parish, Thomas R.] Univ Wyoming, Dept Atmospher Sci, Laramie, WY 82071 USA</t>
  </si>
  <si>
    <t>University of Colorado System; University of Colorado Boulder; University of Colorado System; University of Colorado Boulder; University of Wyoming</t>
  </si>
  <si>
    <t>Seefeldt, MW (corresponding author), Univ Colorado, Cooperat Inst Res Environm Sci, 216 UCB, Boulder, CO 80309 USA.</t>
  </si>
  <si>
    <t>seefeldm@cires.colorado.edu</t>
  </si>
  <si>
    <t>Seefeldt, Mark W/D-3121-2011; Cassano, John/HKW-8817-2023</t>
  </si>
  <si>
    <t>Seefeldt, Mark W/0000-0003-0719-2570;</t>
  </si>
  <si>
    <t>1558-8424</t>
  </si>
  <si>
    <t>J APPL METEOROL CLIM</t>
  </si>
  <si>
    <t>J. Appl. Meteorol. Climatol.</t>
  </si>
  <si>
    <t>10.1175/2007JAMC1442.1</t>
  </si>
  <si>
    <t>240ZO</t>
  </si>
  <si>
    <t>WOS:000251626900016</t>
  </si>
  <si>
    <t>Gimeno, L; De la Torre, L; Nieto, R; Gallego, D; Ribera, P; García-Herrera, R</t>
  </si>
  <si>
    <t>Gimeno, Luis; De la Torre, Laura; Nieto, Raquel; Gallego, David; Ribera, Pedro; Garcia-Herrera, Ricardo</t>
  </si>
  <si>
    <t>A new diagnostic of stratospheric polar vortices</t>
  </si>
  <si>
    <t>stratospheric polar vortices; climatological features; interannual variability</t>
  </si>
  <si>
    <t>POTENTIAL VORTICITY; OZONE DEPLETION; VORTEX; CLIMATOLOGY; REANALYSIS; TROPOSPHERE</t>
  </si>
  <si>
    <t>We studied the main climatological features of the Arctic and Antarctic stratospheric vortices, using a new approach based on defining the vortex edge as the 50hPa geostrophic streamline of maximum average velocity at each hemisphere. Given the use of NCAR-NCEP reanalysis data, it was thought advisable to limit the study to the periods 1958-2004 for the Northern Hemisphere (NH) and 1979-2004 for the Southern Hemisphere (SH). After describing the method and testing sample results with those from other approaches, we analysed the climatological means and trends of the four most distinctive characteristics of the vortices: average latitude, strength, area, and temperature. In general terms, our results confirm most of what is already known about the stratospheric vortices from previous studies that used different data and approaches. In addition, the new methodology provides some interesting new quantifications of the dominant wavenumber and its interannual variability, as well as the principal variability modes through an empirical orthogonal function analysis that was performed directly over the vortex trajectories. The main drawbacks of the methodology, such as noticeable problems characterising highly disturbed stratospheric structures as multiple or off-pole vortices, are also identified. (C) 2007 Elsevier Ltd. All rights reserved.</t>
  </si>
  <si>
    <t>Univ Vigo, Fac Ciencias Ourense, Dept Fis Aplicada, Orense, Spain; Univ Pablo Olavide Sevilla, Dept Sist Fis Quim &amp; Nat, Seville, Spain; Univ Complutense Madrid, Dept Fis Tierra Astron Astrofis 2, Madrid, Spain</t>
  </si>
  <si>
    <t>Universidade de Vigo; Universidad Pablo de Olavide; Complutense University of Madrid</t>
  </si>
  <si>
    <t>Gimeno, L (corresponding author), Univ Vigo, Fac Ciencias Ourense, Dept Fis Aplicada, Orense, Spain.</t>
  </si>
  <si>
    <t>l.gimeno@uvigo.es</t>
  </si>
  <si>
    <t>Gallego, David/F-4123-2016; Ribera, Pedro/K-4479-2014; de la Torre, Laura/Y-3723-2019; Garcia-Herrera, Ricardo/ABE-4731-2020; Nieto, Raquel/AAT-8925-2020; GIMENO, LUIS/B-8137-2008</t>
  </si>
  <si>
    <t>Ribera, Pedro/0000-0002-6432-1554; de la Torre, Laura/0000-0001-5305-6946; Nieto, Raquel/0000-0002-8984-0959; GIMENO, LUIS/0000-0002-0778-3605; Gallego Puyol, David/0000-0002-2082-4125; GARCIA HERRERA, RICARDO FRANCISCO/0000-0002-3845-7458</t>
  </si>
  <si>
    <t>10.1016/j.jastp.2007.07.013</t>
  </si>
  <si>
    <t>239AT</t>
  </si>
  <si>
    <t>WOS:000251490700002</t>
  </si>
  <si>
    <t>Fyfe, JC; Saenko, OA; Zickfeld, K; Eby, M; Weaver, AJ</t>
  </si>
  <si>
    <t>Fyfe, John C.; Saenko, Oleg A.; Zickfeld, Kirsten; Eby, Michael; Weaver, Andrew J.</t>
  </si>
  <si>
    <t>The role of poleward-intensifying winds on Southern Ocean warming</t>
  </si>
  <si>
    <t>CLIMATE-CHANGE; CIRCULATION; MODEL; DYNAMICS; TRENDS</t>
  </si>
  <si>
    <t>Recent analyses of the latest series of climate model simulations suggest that increasing CO2 emissions in the atmosphere are partly responsible for (i) the observed poleward shifting and strengthening of the Southern Hemisphere subpolar westerlies (in association with shifting of the southern annular mode toward a higher index state), and (ii) the observed warming of the subsurface Southern Ocean. Here the role that poleward-intensifying westerlies play in subsurface Southern Ocean warming is explored. To this end a climate model of intermediate complexity was driven separately, and in combination with, time-varying CO2 emissions and time-varying surface winds ( derived from the fully coupled climate model simulations mentioned above). Experiments suggest that the combination of the direct radiative effect of CO2 emissions and poleward-intensified winds sets the overall magnitude of Southern Ocean warming, and that the poleward-intensified winds are key in terms of determining its latitudinal structure. In particular, changes in wind stress curl associated with poleward-intensified winds significantly enhance pure CO2-induced subsurface warming around 45 S (through increased downwelling of warm surface water), reduces it at higher latitudes (through increased upwelling of cold deep water), and reduces it at lower latitudes (through decreased downwelling of warm surface water). Experiments also support recent high-resolution ocean model experiments suggesting that enhanced mesoscale eddy activity associated with poleward-intensified winds influences subsurface (and surface) warming. In particular, it is found that increased poleward heat transport associated with increased mesoscale eddy activity enhances the warming south of the Antarctic Circumpolar Current. Finally, a mechanism involving offshore Ekman sea ice transport (modulated by enhanced mesoscale activity) that acts to significantly limit the human-induced high-latitude Southern Hemisphere surface temperature response is reported on.</t>
  </si>
  <si>
    <t>Environm Canada, Canadian Ctr Climate Modelling &amp; Anal, Victoria, BC, Canada; Univ Victoria, Sch Earth &amp; Ocean Sci, Victoria, BC V8W 2Y2, Canada</t>
  </si>
  <si>
    <t>Environment &amp; Climate Change Canada; Canadian Centre for Climate Modelling &amp; Analysis (CCCma); University of Victoria</t>
  </si>
  <si>
    <t>Fyfe, JC (corresponding author), Univ Victoria, Canadian Ctr Climate Modelling &amp; Anal, POB 1700, Victoria, BC V8W 2Y2, Canada.</t>
  </si>
  <si>
    <t>John.Fyfe@ec.gc.ca</t>
  </si>
  <si>
    <t>Eby, Michael/H-5278-2013; Weaver, Andrew J/E-7590-2011</t>
  </si>
  <si>
    <t>Weaver, Andrew J/0000-0001-8919-3598</t>
  </si>
  <si>
    <t>NOV 1</t>
  </si>
  <si>
    <t>10.1175/2007JCLI1764.1</t>
  </si>
  <si>
    <t>230IV</t>
  </si>
  <si>
    <t>WOS:000250871100013</t>
  </si>
  <si>
    <t>Ummenhofer, CC; England, MH</t>
  </si>
  <si>
    <t>Ummenhofer, Caroline C.; England, Matthew H.</t>
  </si>
  <si>
    <t>Interannual extremes in New Zealand precipitation linked to modes of Southern Hemisphere climate variability</t>
  </si>
  <si>
    <t>NCEP-NCAR REANALYSIS; SEA-SURFACE TEMPERATURES; ATMOSPHERIC CIRCULATION; ANTARCTIC OSCILLATION; SYSTEM MODEL; EL-NINO; EXTENDED RECONSTRUCTION; INDIAN-OCEAN; ANNULAR MODE; TRENDS</t>
  </si>
  <si>
    <t>Interannual extremes in New Zealand rainfall and their modulation by modes of Southern Hemisphere climate variability are examined in observations and a coupled climate model. North Island extreme dry (wet) years are characterized by locally increased (reduced) sea level pressure (SLP), cold (warm) sea surface temperature (SST) anomalies in the southern Tasman Sea and to the north of the island, and coinciding reduced (enhanced) evaporation upstream of the mean southwesterly airflow. During extreme dry (wet) years in South Island precipitation, an enhanced (reduced) meridional SLP gradient occurs, with circumpolar strengthened (weakened) subpolar westerlies and an easterly (westerly) anomaly in zonal wind in the subtropics. As a result, via Ekman transport, anomalously cold (warm) SST appears under the subpolar westerlies, while anomalies of the opposite sign occur farther north. The phase and magnitude of the resulting SST and evaporation anomalies cannot account for the rainfall extremes over the South Island, suggesting a purely atmospheric mode of variability as the driving factor, in this case the Southern Annular Mode (SAM). New Zealand rainfall variability is predominantly modulated by two Southern Hemisphere climate modes, namely, the El Ni (n) over tildeo-Southern Oscillation (ENSO) and the SAM, with a latitudinal gradation in influence of the respective phenomena, and a notable interaction with orographic features. While this heterogeneity is apparent both latitudinally and as a result of orographic effects, climate modes can force local rainfall anomalies with considerable variations across both islands. North Island precipitation is for the most part regulated by both local air-sea heat fluxes and circulation changes associated with the tropical ENSO mode. In contrast, for the South Island the influence of the large-scale general atmospheric circulation dominates, especially via the strength and position of the subpolar westerlies, which are modulated by the extratropical SAM.</t>
  </si>
  <si>
    <t>Univ New S Wales, Sch Math &amp; Stat, Climat &amp; Environm Dynam Lab, Sydney, NSW 2052, Australia</t>
  </si>
  <si>
    <t>Ummenhofer, CC (corresponding author), Univ New S Wales, Sch Math &amp; Stat, Climat &amp; Environm Dynam Lab, Sydney, NSW 2052, Australia.</t>
  </si>
  <si>
    <t>c.ummenhofer@unsw.edu.au</t>
  </si>
  <si>
    <t>England, Matthew/A-7539-2011</t>
  </si>
  <si>
    <t>England, Matthew/0000-0001-9696-2930</t>
  </si>
  <si>
    <t>10.1175/2007JCLI1430.1</t>
  </si>
  <si>
    <t>WOS:000250871100015</t>
  </si>
  <si>
    <t>Wang, SW; Iverson, SJ; Springer, AM; Hatch, SA</t>
  </si>
  <si>
    <t>Wang, Shiway W.; Iverson, Sara J.; Springer, Alan M.; Hatch, Scott A.</t>
  </si>
  <si>
    <t>Fatty acid signatures of stomach oil and adipose tissue of northern fulmars (Fulmarus glacialis) in Alaska:: implications for diet analysis of Procellariiform birds</t>
  </si>
  <si>
    <t>JOURNAL OF COMPARATIVE PHYSIOLOGY B-BIOCHEMICAL SYSTEMIC AND ENVIRONMENTAL PHYSIOLOGY</t>
  </si>
  <si>
    <t>fatty acid signature analysis; Fulmarus glacialis; stomach oil; Alaska; diet analysis</t>
  </si>
  <si>
    <t>PRINCE-WILLIAM-SOUND; ANTARCTIC FUR SEALS; PUFFINUS-TENUIROSTRIS; SPECIES VARIABILITY; PREDATOR DIETS; FISH; MOBILIZATION; PETRELS; LIPIDS; RATES</t>
  </si>
  <si>
    <t>Procellariiforms are unique among seabirds in storing dietary lipids in both adipose tissue and stomach oil. Thus, both lipid sources are potentially useful for trophic studies using fatty acid (FA) signatures. However, little is known about the relationship between FA signatures in stomach oil and adipose tissue of individuals or whether these signatures provide similar information about diet and physiology. We compared the FA composition of stomach oil and adipose tissue biopsies of individual northern fulmars (N = 101) breeding at three major colonies in Alaska. Fatty acid signatures differed significantly between the two lipid sources, reflecting differences in dietary time scales, metabolic processing, or both. However, these signatures exhibited a relatively consistent relationship between individuals, such that the two lipid sources provided a similar ability to distinguish foraging differences among individuals and colonies. Our results, including the exclusive presence of dietary wax esters in stomach oil but not adipose tissue, are consistent with the notion that stomach oil FA signatures represent lipids retained from prey consumed during recent foraging and reflect little metabolic processing, whereas adipose tissue FA signatures represent a longer-term integration of dietary intake. Our study illustrates the potential for elucidating short- versus longer-term diet information in Procellariiform birds using different lipid sources.</t>
  </si>
  <si>
    <t>US Geol Survey, Alaska Sci Ctr, Seward, AK 99664 USA; Dalhousie Univ, Dept Biol, Halifax, NS B3H 4J1, Canada; Univ Alaska, Inst Marine Sci, Fairbanks, AK 99775 USA; US Geol Survey, Alaska Sci Ctr, Anchorage, AK 99503 USA</t>
  </si>
  <si>
    <t>United States Department of the Interior; United States Geological Survey; Dalhousie University; University of Alaska System; University of Alaska Fairbanks; United States Department of the Interior; United States Geological Survey</t>
  </si>
  <si>
    <t>Wang, SW (corresponding author), US Geol Survey, Alaska Sci Ctr, Seward, AK 99664 USA.</t>
  </si>
  <si>
    <t>shiway@gmail.com</t>
  </si>
  <si>
    <t>Iverson, Sara/0000-0003-2842-4094</t>
  </si>
  <si>
    <t>10.1007/s00360-007-0187-y</t>
  </si>
  <si>
    <t>231AV</t>
  </si>
  <si>
    <t>WOS:000250919600008</t>
  </si>
  <si>
    <t>Todgham, AE; Hoaglund, EA; Hofmann, GE</t>
  </si>
  <si>
    <t>Todgham, Anne E.; Hoaglund, Elizabeth A.; Hofmann, Gretchen E.</t>
  </si>
  <si>
    <t>Is cold the new hot? Elevated ubiquitin-conjugated protein levels in tissues of Antarctic fish as evidence for cold-denaturation of proteins in vivo</t>
  </si>
  <si>
    <t>antarctic fish; protein denaturation; ubiquitin; cold adaptation; notothenioid</t>
  </si>
  <si>
    <t>HEAT-SHOCK; SEASONAL-CHANGES; METABOLIC COST; EXPRESSION; TEMPERATURE; GENES; ADAPTATION; EVOLUTION; HSP70; DEGRADATION</t>
  </si>
  <si>
    <t>Levels of ubiquitin (Ub)-conjugated proteins, as an index of misfolded or damaged proteins, were measured in notothenioid fishes, with both Antarctic (Trematomus bemacchii, T. pennellii, Pagothenia borchgrevinki) and non-Antarctic (Notothenia angustata, Bovichtus variegatus) distributions, as well as non-notothenioid fish from the Antarctic (Lycodichthys dearborni, Family Zoarcidae) and New Zealand (Bellapiscis medius, Family Tripterygiidae), in an effort to better understand the effect that inhabiting a sub-zero environment has on maintaining the integrity of the cellular protein pool. Overall, levels of Ub-conjugated proteins in cold-adapted Antarctic fishes were significantly higher than New Zealand fishes in gill, liver, heart and spleen tissues suggesting that life at sub-zero temperatures impacts protein homeostasis. The highest tissue levels of ubiquitinated proteins were found in the spleen of all fish. Ub conjugate levels in the New Zealand N. angustata, more closely resembled levels measured in other Antarctic fishes than levels measured in other New Zealand species, likely reflecting their recent shared ancestry with Antarctic notothenioids.</t>
  </si>
  <si>
    <t>Univ Calif Santa Barbara, Dept Ecol Evolut &amp; Marine Biol, Santa Barbara, CA 93106 USA</t>
  </si>
  <si>
    <t>University of California System; University of California Santa Barbara</t>
  </si>
  <si>
    <t>Hofmann, GE (corresponding author), Univ Calif Santa Barbara, Dept Ecol Evolut &amp; Marine Biol, Santa Barbara, CA 93106 USA.</t>
  </si>
  <si>
    <t>hofmann@lifesci.ucsb.edu</t>
  </si>
  <si>
    <t>10.1007/s00360-007-0183-2</t>
  </si>
  <si>
    <t>WOS:000250919600004</t>
  </si>
  <si>
    <t>Shields, JD; Segonzac, M</t>
  </si>
  <si>
    <t>Shields, Jeffrey D.; Segonzac, Michel</t>
  </si>
  <si>
    <t>New nemertean worms (Carcinonemertidae) on bythograeid crabs (Decapoda: Brachyura) from pacific hydrothermal vent sites</t>
  </si>
  <si>
    <t>JOURNAL OF CRUSTACEAN BIOLOGY</t>
  </si>
  <si>
    <t>SYMBIOTIC EGG PREDATOR; RED KING CRAB; N-SP NEMERTEA; PARALITHODES-CAMTSCHATICA; COLD SEEPS; INFESTATION; CRUSTACEA; BIOLOGY; LOBSTER</t>
  </si>
  <si>
    <t>Several species of crabs from hydrothermal vent sites in the Pacific Ocean Were found to be infested by small, symbiotic nemertean worms. Worms occurred on both male and female crabs, and were located in mucous sheaths adhering to the axillae between the limbs of males and females, the setae of the pleopods of females, and the sterna of infested male and female crabs. Only juvenile and regressed adult worms were observed, primarily because no ovigerous hosts were examined. Similar species of worms mature by eating eggs, then regress or die after host eclosion. Based on the size of the worms from file vent crabs, their habitus with their crustacean hosts, the presence of accessory stylet pouches, and the presence of a single stylet on a large basis (monostiliferous), we place the worms in the family Carcinonemertidae, within the genus Ovicides. Infestations were found on crabs from vent sites on the western Pacific back-arc basins, on the southern East Pacific Ridge, and on the Pacific-Antarctic Ridge, indicating a widespread distribution of the symbioses. This represents the first record of Carcinonemertidae from a deep-sea host, a new host family, Bythograeidae, for these symbionts, as well as the first record of parasitism on a deep-sea bythograeid crab.</t>
  </si>
  <si>
    <t>Virginia Inst Marine Sci, Coll William &amp; Mary, Gloucester Point, VA 23062 USA; IFREMER, Ctr Brest, Lab Environm Profond Centob, F-29280 Plouzane, France</t>
  </si>
  <si>
    <t>William &amp; Mary; Virginia Institute of Marine Science; Ifremer</t>
  </si>
  <si>
    <t>Shields, JD (corresponding author), Virginia Inst Marine Sci, Coll William &amp; Mary, Gloucester Point, VA 23062 USA.</t>
  </si>
  <si>
    <t>jeff@vims.edu; segonzac@ifremer.fr</t>
  </si>
  <si>
    <t>Shields, Jeffrey D./0000-0002-2658-4572</t>
  </si>
  <si>
    <t>0278-0372</t>
  </si>
  <si>
    <t>1937-240X</t>
  </si>
  <si>
    <t>J CRUSTACEAN BIOL</t>
  </si>
  <si>
    <t>J. Crustac. Biol.</t>
  </si>
  <si>
    <t>10.1651/S-2794.1</t>
  </si>
  <si>
    <t>226RR</t>
  </si>
  <si>
    <t>WOS:000250606700019</t>
  </si>
  <si>
    <t>Martin, S; Drucker, RS; Kwok, R</t>
  </si>
  <si>
    <t>Martin, Seelye; Drucker, Robert S.; Kwok, Ronald</t>
  </si>
  <si>
    <t>The areas and ice production of the western and central Ross Sea polynyas, 1992-2002, and their relation to the B-15 and C-19 iceberg events of 2000 and 2002</t>
  </si>
  <si>
    <t>Antarctic zone; Ross Sea; sea ice; polynyas; icebergs</t>
  </si>
  <si>
    <t>SHELF; VARIABILITY; DRIFT</t>
  </si>
  <si>
    <t>For 1992-2002, the paper investigates the heat loss and area of three polynyas in the western and central Ross Sea. These are the Ross Sea Polynya (RSP) and the much smaller Terra Nova Bay and McMurdo Sound polynyas. The importance of these polynyas is that their associated salt rejection contributes to the formation of the High Salinity Shelf Water (HSSW) that is crucial to the Antarctic Bottom Water formation. The study divides into two parts, 1992-1999, when there was negligible iceberg activity, and 2000-2002, when major icebergs calved and interacted with the polynyas. To retrieve the ice thicknesses and heat fluxes within the polynyas, the paper uses an algorithm based on the ratio of the vertically and horizontally polarized Special Sensor Microwave/Imager (SSM/I) 25-km resolution 37-GHz channels, combined with meteorological data. Because of sidelobe contamination, the ice shelf and icebergs are masked. Our results show that for the polynyas, and consistent with other observations, their mean winter area is about 30,000 km(2) and their combined ice production is about 500 km(3) y(-1). We also find that the polynya ice production approximately equals the ice export. This is in contrast to the Weddell Sea, where the polynya ice production equals about 6% of the ice export. For the years 2000 and 2002, the calving of large icebergs directly affect the ice production by inhibiting the ice production off the shelf due to piling up of first year ice upwind of the bergs and by generating new polynyas downwind of the bergs. The period 1992-2001 exhibits an upward trend in polynya productivity. The decadal increase in the ice production suggests that the observed HSSW salinity decrease in the western Ross Sea is not due to the polynyas, but is rather due to a change in the properties of the water flowing into the Ross. (c) 2007 Published by Elsevier B.V.</t>
  </si>
  <si>
    <t>Univ Washington, Sch Oceanog, Seattle, WA 98195 USA; CALTECH, Jet Prop Lab, Pasadena, CA 91109 USA</t>
  </si>
  <si>
    <t>University of Washington; University of Washington Seattle; California Institute of Technology; National Aeronautics &amp; Space Administration (NASA); NASA Jet Propulsion Laboratory (JPL)</t>
  </si>
  <si>
    <t>Martin, S (corresponding author), Univ Washington, Sch Oceanog, Box 357940, Seattle, WA 98195 USA.</t>
  </si>
  <si>
    <t>seelye@ocean.washington.edu</t>
  </si>
  <si>
    <t>Kwok, Ron/A-9762-2008; Kwok, Ronald/L-3968-2019</t>
  </si>
  <si>
    <t>Kwok, Ron/0000-0003-4051-5896; Kwok, Ronald/0000-0003-4051-5896</t>
  </si>
  <si>
    <t>10.1016/j.jmarsys.2006.11.008</t>
  </si>
  <si>
    <t>232FJ</t>
  </si>
  <si>
    <t>WOS:000251003400011</t>
  </si>
  <si>
    <t>Papetti, C; Lio, P; Rüber, L; Patarnello, T; Zardoya, R</t>
  </si>
  <si>
    <t>Papetti, Chiara; Lio, Pietro; Rueber, Lukas; Patarnello, Tomaso; Zardoya, Rafael</t>
  </si>
  <si>
    <t>Antarctic fish mitochondrial genomes lack ND6 gene</t>
  </si>
  <si>
    <t>JOURNAL OF MOLECULAR EVOLUTION</t>
  </si>
  <si>
    <t>Notothenioidei; ND6; ATPases; gene content; gene loss; mitochondrial genome</t>
  </si>
  <si>
    <t>PROTEIN-STRUCTURE; TRANSFER-RNA; EVOLUTION; PHYLOGENY; NOTOTHENIOIDEI; PERCIFORMES; DIVERGENCE; DNA</t>
  </si>
  <si>
    <t>Mitochondrial gene content shows extensive variation among eukaryotes, but is remarkably compact and static in bilateral animals. Mitochondrial genomes of bilaterians typically contain two rRNA, 22 tRNA, and 13 protein-coding genes. In this study, we report that the mitochondrial genomes of Antarctic fishes of the suborder Notothenioidei (Perciformes) lack two adjacent genes encoding NADH 6 dehydrogenase (ND6) and tRNA(Glu). Loss of the ND6 gene is reported for the first time in an animal mitochondrial genome, and is considered an extremely rare evolutionary event. Dot blot and ND6 transcript detection analyses found no evidence of mitochondrial ND6 gene copies in heteroplasmy or of a functional ND6 gene copy in the nuclear genome, respectively. Hence, we concluded that ND6 function was lost in Antarctic notothenioids, and could be compensated for by functional changes in other proteins of the mitochondrial respiratory system.</t>
  </si>
  <si>
    <t>Univ Padua, Dept Publ Hlth Comparat Pathol &amp; Vet Hyg, I-35020 Legnaro, Italy; Univ Padua, Dept Biol, I-35121 Padua, Italy; CSIC, Museo Nacl Ciencias Nat, Dept Biodiversidad Biol Evolut, E-28006 Madrid, Spain; Univ Cambridge, Comp Lab, Cambridge CB3 0FD, England; Nat Hist Museum, Dept Zool, London SW7 5BD, England</t>
  </si>
  <si>
    <t>University of Padua; University of Padua; Consejo Superior de Investigaciones Cientificas (CSIC); CSIC - Museo Nacional de Ciencias Naturales (MNCN); University of Cambridge; Natural History Museum London</t>
  </si>
  <si>
    <t>Patarnello, T (corresponding author), Univ Padua, Dept Publ Hlth Comparat Pathol &amp; Vet Hyg, Viale Univ 16, I-35020 Legnaro, Italy.</t>
  </si>
  <si>
    <t>tomaso.patarnello@unipd.it</t>
  </si>
  <si>
    <t>P. Lió, Pietro Lio/AAV-3358-2021; Rüber, Lukas/D-5436-2013; Zardoya, Rafael/B-2291-2012</t>
  </si>
  <si>
    <t>P. Lió, Pietro Lio/0000-0002-0540-5053; Rüber, Lukas/0000-0003-0125-008X; Papetti, Chiara/0000-0002-4567-459X; Zardoya, Rafael/0000-0001-6212-9502; PATARNELLO, Tomaso/0000-0003-1794-5791</t>
  </si>
  <si>
    <t>0022-2844</t>
  </si>
  <si>
    <t>1432-1432</t>
  </si>
  <si>
    <t>J MOL EVOL</t>
  </si>
  <si>
    <t>J. Mol. Evol.</t>
  </si>
  <si>
    <t>10.1007/s00239-007-9030-z</t>
  </si>
  <si>
    <t>Biochemistry &amp; Molecular Biology; Evolutionary Biology; Genetics &amp; Heredity</t>
  </si>
  <si>
    <t>231BX</t>
  </si>
  <si>
    <t>WOS:000250922600004</t>
  </si>
  <si>
    <t>Strugnell, J; Nishiguchi, MK</t>
  </si>
  <si>
    <t>Strugnell, Jan; Nishiguchi, Michele K.</t>
  </si>
  <si>
    <t>Molecular phylogeny of coleoid cephalopods (Mollusca: Cephalopoda) inferred from three mitochondrial and six nuclear loci:: A comparison of alignment, implied alignment and analysis methods</t>
  </si>
  <si>
    <t>JOURNAL OF MOLLUSCAN STUDIES</t>
  </si>
  <si>
    <t>MULTIPLE-SEQUENCE ALIGNMENT; 18S RIBOSOMAL-RNA; SECONDARY STRUCTURE; MAXIMUM-LIKELIHOOD; DNA; EVOLUTION; PARSIMONY; INFERENCE; OCTOPODA; MRBAYES</t>
  </si>
  <si>
    <t>Recent molecular studies investigating higher-level phylogenetics of coleoid cephalopods (octopuses, squids and cuttlefishes) have produced conflicting results. A wide range of sequence alignment and analysis methods are used in cephalopod phylogenetic studies. The present study investigated the effect of commonly used alignment and analysis methods on higher-level cephalopod phylogenetics. Two sequence homology methods: (1) eye alignment, (2) implied alignment, and three analysis methods: (1) parsimony, (2) maximum likelihood, (3) Bayesian methodologies, were employed on the longest sequence dataset available for the coleoid cephalopods, comprising three mitochondrial and six nuclear loci. The data were also tested for base composition heterogeneity, which was detected in three genes and resolved using RY coding. The Octopoda, Argonautoidea, Oegopsida and Ommastrephidae are monophyletic in the phylogenies resulting from each of the alignment and analysis combinations. Furthermore, the Bathyteuthidae are the sister taxon of the Oegopsida in each case. However many relationships within the Coleoidea differed depending upon the alignment and analysis method used. This study demonstrates how differences in alignment and analysis methods commonly used in cephalopod phylogenetics can lead to different, but often highly supported, relationships.</t>
  </si>
  <si>
    <t>Queens Univ Belfast, Sch Biol &amp; Biochem, Belfast BT9 7BL, Antrim, North Ireland; British Antarctic Survey, NERC, Cambridge CB3 0ET, England; New Mexico State Univ, Dept Biol, Las Cruces, NM 88003 USA</t>
  </si>
  <si>
    <t>Queens University Belfast; UK Research &amp; Innovation (UKRI); Natural Environment Research Council (NERC); NERC British Antarctic Survey; New Mexico State University</t>
  </si>
  <si>
    <t>Strugnell, J (corresponding author), Queens Univ Belfast, Sch Biol &amp; Biochem, 97 Lisburn Rd, Belfast BT9 7BL, Antrim, North Ireland.</t>
  </si>
  <si>
    <t>jmst@bas.ac.uk</t>
  </si>
  <si>
    <t>Strugnell, Jan/B-1698-2010; Strugnell, Jan/C-5522-2008</t>
  </si>
  <si>
    <t>Strugnell, Jan/0000-0003-2994-637X</t>
  </si>
  <si>
    <t>0260-1230</t>
  </si>
  <si>
    <t>1464-3766</t>
  </si>
  <si>
    <t>J MOLLUS STUD</t>
  </si>
  <si>
    <t>J. Molluscan Stud.</t>
  </si>
  <si>
    <t>10.1093/mollus/eym038</t>
  </si>
  <si>
    <t>234XW</t>
  </si>
  <si>
    <t>WOS:000251198900010</t>
  </si>
  <si>
    <t>Sen Gupta, A; England, MH</t>
  </si>
  <si>
    <t>Sen Gupta, Alexander; England, Matthew H.</t>
  </si>
  <si>
    <t>Evaluation of interior circulation in a high-resolution global ocean model. Part II: Southern hemisphere intermediate, mode, and thermocline waters</t>
  </si>
  <si>
    <t>JOURNAL OF PHYSICAL OCEANOGRAPHY</t>
  </si>
  <si>
    <t>TOTAL GEOSTROPHIC CIRCULATION; ATLANTIC-OCEAN; FLOW PATTERNS; INDIAN-OCEAN; WORLD OCEAN; ANTHROPOGENIC CO2; ANTARCTIC MODE; CONVEYOR BELT; PACIFIC; TRACERS</t>
  </si>
  <si>
    <t>A high-resolution, offline ocean general circulation model, incorporating a realistic parameterization of mixed layer convection, is used to diagnose pathways and time scales of Southern Hemisphere intermediate, mode, and lower thermocline water ventilation. The use of such an offline methodology represents the only feasible way of simulating the long time scales required to validate the internal pathways of a high-resolution ocean model. Simulated and observed chlorofluorocarbon-11 ( CFC-11) are in reasonably good agreement, demonstrating the model's skill in representing realistic ventilation. Regional passive dye and age tracer experiments aid in the identification of pathways originating from different Southern Hemisphere locations. Northern Hemisphere penetration of intermediate, mode, and thermocline waters is most extensive and rapid into the North Atlantic Ocean because these waters are involved in closing the Atlantic meridional overturning cell. However, less than 8% of this ventilation is derived from subduction within the South Atlantic in the simulation. Instead, this water enters the Atlantic just to the south of South Africa, having originally subducted primarily in the east Indian Ocean, but also in the west Indian Ocean and the west Pacific region where a pathway advects water westward to the south of Australia. This pathway also plays a large part, together with water overturned in the east Indian Ocean, in ventilating the northern reaches of the Indian basin. Northward propagation in the Pacific Ocean is limited to the low latitudes of the Northern Hemisphere and is almost exclusively accomplished by water subducted in the South Pacific. A small contribution is made from the other basins from water that spreads northward, fed by a circumpolar pathway associated with the Antarctic Circumpolar Current that forms a conduit for intermediate and mode water exchange between all three basins. Intermediate water is injected into and branches off this pathway in all basins, but most vigorously in the southeastern Pacific.</t>
  </si>
  <si>
    <t>Univ New S Wales, Sch Math, Climate &amp; Environm Dynam Lab, Sydney, NSW, Australia</t>
  </si>
  <si>
    <t>Sen Gupta, A (corresponding author), Univ New S Wales, Sch Math, Climate &amp; Environm Dynam Lab, Sydney, NSW, Australia.</t>
  </si>
  <si>
    <t>a.sengupta@unsw.edu.au</t>
  </si>
  <si>
    <t>England, Matthew/A-7539-2011; Sen Gupta, Alexander/B-7995-2011</t>
  </si>
  <si>
    <t>England, Matthew/0000-0001-9696-2930; Sen Gupta, Alexander/0000-0001-5226-871X</t>
  </si>
  <si>
    <t>0022-3670</t>
  </si>
  <si>
    <t>J PHYS OCEANOGR</t>
  </si>
  <si>
    <t>J. Phys. Oceanogr.</t>
  </si>
  <si>
    <t>10.1175/2007JPO3644.1</t>
  </si>
  <si>
    <t>242QW</t>
  </si>
  <si>
    <t>WOS:000251741600003</t>
  </si>
  <si>
    <t>Terdik, G; Rao, TS; Jammalamadaka, SR</t>
  </si>
  <si>
    <t>Terdik, Gy.; Rao, T. Subba; Jammalamadaka, S. Rao</t>
  </si>
  <si>
    <t>On multivariate nonlinear regression models with stationary correlated errors</t>
  </si>
  <si>
    <t>JOURNAL OF STATISTICAL PLANNING AND INFERENCE</t>
  </si>
  <si>
    <t>multivariate time series; nonlinear regression estimation; Chandler Wobble; global warming; antarctic temperatures</t>
  </si>
  <si>
    <t>TIME-SERIES</t>
  </si>
  <si>
    <t>In this paper we consider the statistical analysis of multivariate multiple nonlinear regression models with correlated errors, using, Finite Fourier Transforms. Consistency and asymptotic normality of the weighted least squares estimates are established under various conditions on the regressor variables. These conditions involve different types of scalings, and the scaling factors are obtained explicitly for various types of nonlinear regression models including an interesting model which requires the estimation of unknown frequencies. The estimation of frequencies is a classical problem occurring in many areas like signal processing, environmental time series, astronomy and other areas of physical sciences. We illustrate our methodology using two real data sets taken from geophysics and environmental sciences. The data we consider from geophysics are polar motion (which is now widely known as Chandlers Wobble), where one has to estimate the drift parameters, the offset parameters and the two periodicities associated with elliptical motion. The data were first analyzed by Arato, Kolmogorov and Sinai who treat it as a bivariate time series satisfying a finite order time series model. They estimate the periodicities using the coefficients of the fitted models. Our analysis shows that the two dominant frequencies are 12 h and 410 days. The second example, we consider is the minimum/maximum monthly temperatures observed at the Antarctic Peninsula (Faraday/Vernadsky station). It is now widely believed that over the past 50 years there is a steady warming in this region, and if this is true, the warming has serious consequences on ecology, marine life, etc. as it can result in melting of ice shelves and glaciers. Our objective here is to estimate any existing temperature trend in the data, and we use the nonlinear regression methodology developed here to achieve that goal. (C) 2007 Elsevier B.V. All rights reserved.</t>
  </si>
  <si>
    <t>Univ Calif Santa Barbara, Dept Stat &amp; Appl Probabil, Santa Barbara, CA 93106 USA; Univ Debrecen, Fac Informat, Dept Informat Technol, H-4010 Debrecen, Hungary; Univ Manchester, Sch Math, Manchester M60 1QD, Lancs, England</t>
  </si>
  <si>
    <t>University of California System; University of California Santa Barbara; University of Debrecen; University of Manchester</t>
  </si>
  <si>
    <t>Jammalamadaka, SR (corresponding author), Univ Calif Santa Barbara, Dept Stat &amp; Appl Probabil, Santa Barbara, CA 93106 USA.</t>
  </si>
  <si>
    <t>jammalam@pstat.ucsb.edu</t>
  </si>
  <si>
    <t>Jammalamadaka, Sreenivasa Rao/A-9797-2008</t>
  </si>
  <si>
    <t>Jammalamadaka, Sreenivasa Rao/0000-0003-4479-4175; Terdik, Gyorgy/0000-0002-9663-6892</t>
  </si>
  <si>
    <t>0378-3758</t>
  </si>
  <si>
    <t>1873-1171</t>
  </si>
  <si>
    <t>J STAT PLAN INFER</t>
  </si>
  <si>
    <t>J. Stat. Plan. Infer.</t>
  </si>
  <si>
    <t>10.1016/j.jspi.2007.03.050</t>
  </si>
  <si>
    <t>205UM</t>
  </si>
  <si>
    <t>WOS:000249140100049</t>
  </si>
  <si>
    <t>Rai, AK; Maurya, AS</t>
  </si>
  <si>
    <t>Rai, Ajai Kumar; Maurya, Abhayanand Singh</t>
  </si>
  <si>
    <t>Paleoceanographic significance of changes in Miocene deep-sea benthic foraminiferal diversity on the Wombat Plateau, eastern Indian Ocean</t>
  </si>
  <si>
    <t>JOURNAL OF THE GEOLOGICAL SOCIETY OF INDIA</t>
  </si>
  <si>
    <t>ODP; Miocene; benthic foraminifera; diversity; paleoceanography; Wombat Plateau; eastern Indian Ocean</t>
  </si>
  <si>
    <t>SPECIES DIVERSITY; LATE NEOGENE; ISOTOPE STRATIGRAPHY; ASIAN MONSOON; EVOLUTION; PALEOGENE; PLIOCENE; CLIMATE; SHELF</t>
  </si>
  <si>
    <t>In the present work, late Oligocene to latest Miocene (-28-6.5 Ma) deep-sea benthic foraminifera (over 149 Am size fraction) were studied from ODP sites 760A and 761B on Wombat Plateau in the eastern Indian Ocean to understand the faunal diversity pattern. The samples were commonly examined at about 0.75rn interval at both the sites. The benthic foraminiferal species diversity was measured in terms of Shannon-Weaver Index [H(S)], Hurlbert's Diversity Index (S-100), Alpha Index (alpha) and Equitability (E'), all of which show almost similar trends with few exceptions. The Miocene section at both the sites show marked fluctuations in the values of various diversity indices of deep-sea benthic foraminiferal assemblages. Distinctly low values of diversity indices across the Oligocene-Miocene transition Correspond well with the higher values of benthic delta O-18 and delta(13)c reflecting relatively cold, nutrient depleted, young bottom waters which possibly indicate the influence of Antarctic Circumpolar Current (ACC) in this region. Faunal diversity reached to maximum values at both the sites near the end of Miocene climatic optimum at about 15 Ma reflecting warm bottom waters with low trophic levels. The low bottom water temperature, expansion of East Antarctic Ice Sheet (EAIS) and possibly higher trophic level appear to be responsible for less diverse fauna during the middle Miocene i.e. similar to 14Ma and younger. Further, decrease in the values of diversity during latest Miocene (similar to 7.5-6.5 Ma) is Suggested to be due to increased surface water productivity in response to the intensified monsoonal activity in the eastern Indian Ocean.</t>
  </si>
  <si>
    <t>[Rai, Ajai Kumar; Maurya, Abhayanand Singh] Univ Allahabad, Nehru Sci Ctr, Dept Earth &amp; Planetary Sci, Allahabad 211002, Uttar Pradesh, India</t>
  </si>
  <si>
    <t>University of Allahabad</t>
  </si>
  <si>
    <t>Rai, AK (corresponding author), Univ Allahabad, Nehru Sci Ctr, Dept Earth &amp; Planetary Sci, Allahabad 211002, Uttar Pradesh, India.</t>
  </si>
  <si>
    <t>akrai@sancharnet.in; asmaurya2001@yahoo.co.in</t>
  </si>
  <si>
    <t>Maurya, Abhayanad Singh/0000-0001-7489-8026</t>
  </si>
  <si>
    <t>SPRINGER INDIA</t>
  </si>
  <si>
    <t>7TH FLOOR, VIJAYA BUILDING, 17, BARAKHAMBA ROAD, NEW DELHI, 110 001, INDIA</t>
  </si>
  <si>
    <t>0016-7622</t>
  </si>
  <si>
    <t>0974-6889</t>
  </si>
  <si>
    <t>J GEOL SOC INDIA</t>
  </si>
  <si>
    <t>J. Geol. Soc. India</t>
  </si>
  <si>
    <t>256UW</t>
  </si>
  <si>
    <t>WOS:000252756400015</t>
  </si>
  <si>
    <t>Holmes, ND</t>
  </si>
  <si>
    <t>Holmes, Nick D.</t>
  </si>
  <si>
    <t>Comparing king, gentoo, and royal penguin responses to pedestrian visitation</t>
  </si>
  <si>
    <t>JOURNAL OF WILDLIFE MANAGEMENT</t>
  </si>
  <si>
    <t>behavior; gentoo; human disturbance; king; penguin; royal; subantarctic; visitor management</t>
  </si>
  <si>
    <t>FLIGHT-INITIATION DISTANCE; HUMAN DISTURBANCE; BEHAVIORAL-RESPONSES; PYGOSCELIS-ADELIAE; JACKASS PENGUINS; NESTING SUCCESS; BIRDS; TOURISM; ANTARCTICA; ARGENTINA</t>
  </si>
  <si>
    <t>For wildlife managers, determining inter-species differences in the behavioral responses of seabirds to visitation can allow greater efficacy of visitor guidelines. Two key management outcomes for such information include 1) tailoring visitor guidelines to protect the most sensitive species and 2) improving self-regulation during visits by identifying behaviors likely to indicate a change in the natural activity of visited species. On subantarctic Macquarie Island, Australia, I collected the behavioral responses of guarding king (Aptenodytes patagonicus), gentoo (Pygoscelis papua), and royal (Eudyptes seblegeli) penguins before, during, and after exposure to a standardized pedestrian visit, to compare species' behavioral responses to visitation. Gentoo penguins appeared more sensitive than royal or king penguins, exhibiting altered behavior for 5 minutes after the stimulus was removed; this pattern was not evident in kings or royals. Response behaviors useful for visitors to assess their impact on penguins include vigilance (repeated rapid head turning) in all 3 species, agonism in king and royal penguins (reaching and striking at conspecifics), and low threat-display (bill pointing) in gentoo penguins. This study is valuable for wildlife managers as it provides practical information in the application of on-ground visitor guidelines.</t>
  </si>
  <si>
    <t>Univ Tasmania, Sch Geog &amp; Environm Studies, Hobart, Tas 7001, Australia; Australian Antarctic Div, Human Impacts Res Programme, Kingston, Tas 7050, Australia</t>
  </si>
  <si>
    <t>Holmes, ND (corresponding author), Kauai Endangered Seabird Recovery Project, PO Box 458, Waimea, HI 96796 USA.</t>
  </si>
  <si>
    <t>0022-541X</t>
  </si>
  <si>
    <t>1937-2817</t>
  </si>
  <si>
    <t>J WILDLIFE MANAGE</t>
  </si>
  <si>
    <t>J. Wildl. Manage.</t>
  </si>
  <si>
    <t>10.2193/2005-715</t>
  </si>
  <si>
    <t>230CK</t>
  </si>
  <si>
    <t>WOS:000250853000013</t>
  </si>
  <si>
    <t>Connan, M; Cherel, Y; Mayzaud, P</t>
  </si>
  <si>
    <t>Connan, Maeelle; Cherel, Yves; Mayzaud, Patrick</t>
  </si>
  <si>
    <t>Lipids from stomach oil of procellariiform seabirds document the importance of myctophid fish in the Southern Ocean</t>
  </si>
  <si>
    <t>SQUID MOROTEUTHIS-INGENS; FATTY-ACID-COMPOSITION; FEEDING ECOLOGY; STABLE-ISOTOPES; HALOBAENA-CAERULEA; ILES-KERGUELEN; FOOD-WEB; DIET; WATERS; MACQUARIE</t>
  </si>
  <si>
    <t>We investigated the relative importance of myctophid fish and Antarctic krill in the diet of adult flying seabirds of the Southern Ocean. The main prey of short-tailed shearwaters Puffinus tenuirostris (P. ten.), white-chinned petrels Procellaria aequinoctialis (P. aeq.), blue petrels Halobaena caerulea (H cae.), thin-billed prions Pachyptila belcheri (P. bel.), and Antarctic prions Pachyptila desolata (P. des.) were mostly deduced from the lipid analysis of adult stomach oils. More than 97% of the 125 analyzed oils mainly consisted of wax esters (WEs) and triacylglycerols (TAGS) (&gt; 70% of total lipids). WE fatty alcohol (FAlc), WE fatty acid (FA), and TAG-FA profiles clearly segregated P. aeq. from P. ten., with smaller, but still significant, differences among the three other petrel species. P. aeq. and P. ten. therefore preyed on distinct prey species, whereas H. cae., P. bel., and P. des. had a more similar diet, but still with some prey differences. Comparisons between FAlc and FA patterns of oils with those of potential prey species showed that &gt; 93% of FAlc and FA patterns of oil WEs had a high probability of resemblance with the myctophid signatures, and similar results were obtained with the TAG fractions. Almost no stomach oil fit the lipid patterns of subantarctic and Antarctic euphausiids, including those of the WE-rich Thysanoessa macrura and the TAG-rich Antarctic krill Euphausia superba. This study thus demonstrates for the first time the importance of myctophids in the nutrition of adult flying seabirds breeding in subantarctic islands and foraging in Antarctic waters during the austral summer.</t>
  </si>
  <si>
    <t>Univ Paris 06, Observ Oceanol, Oceanog Biochim Ecol, UMR, F-06234 Villefranche Sur Mer, France; CNRS, UPR, Ctr Etud Biol Chize, F-79360 Bois Guillaume, France</t>
  </si>
  <si>
    <t>Sorbonne Universite; Centre National de la Recherche Scientifique (CNRS)</t>
  </si>
  <si>
    <t>Connan, M (corresponding author), Univ Paris 06, Observ Oceanol, Oceanog Biochim Ecol, UMR, LOV, BP 28, F-06234 Villefranche Sur Mer, France.</t>
  </si>
  <si>
    <t>cherel@cebc.cnrs.fr</t>
  </si>
  <si>
    <t>Connan, Maelle/A-8468-2008</t>
  </si>
  <si>
    <t>Connan, Maelle/0000-0002-1308-9118</t>
  </si>
  <si>
    <t>10.4319/lo.2007.52.6.2445</t>
  </si>
  <si>
    <t>233ZG</t>
  </si>
  <si>
    <t>WOS:000251129700012</t>
  </si>
  <si>
    <t>Hopkinson, BM; Mitchell, G; Reynolds, RA; Wang, H; Selph, KE; Measures, CI; Hewes, CD; Holm-Hansen, O; Barbeau, KA</t>
  </si>
  <si>
    <t>Hopkinson, Brian M.; Mitchell, Greg; Reynolds, Rick A.; Wang, Haili; Selph, Karen E.; Measures, Christopher I.; Hewes, Christopher D.; Holm-Hansen, Osmund; Barbeau, Katherine A.</t>
  </si>
  <si>
    <t>Iron limitation across chlorophyll gradients in the southern Drake Passage: Phytoplankton responses to iron addition and photosynthetic indicators of iron stress</t>
  </si>
  <si>
    <t>PHOTOSYSTEM-II; TEMPORAL VARIABILITY; ENERGY-CONVERSION; ROSS SEA; OCEAN; LIGHT; PRODUCTIVITY; FLUORESCENCE; ANTARCTICA; BIOMASS</t>
  </si>
  <si>
    <t>Processes influencing phytoplankton bloom development in the southern Drake Passage were studied using shipboard iron-enrichment incubations conducted across a surface chlorophyll gradient near the Antarctic Peninsula, in a region of water mass mixing. Iron incubation assays showed that Antarctic Circumpolar Current (ACC) waters were severely iron limited, while shelf waters with high ambient iron concentrations (1-2 nmol L-1) were iron replete, demonstrating that mixing of the two water masses is a plausible mechanism for generation of the high phytoplankton biomass observed downstream of the Antarctic Peninsula. In downstream high-chlorophyll mixed waters, phytoplankton growth rates were also iron limited, although responses to iron addition were generally more moderate as compared to ACC waters. Synthesizing results from all experiments, significant correlations were found between the initial measurements of Photosystem II (PSII) parameters (F-v: F-m, sigma(PSII), and p) and the subsequent responses of these waters to iron addition. These correlations indicate that PSII parameters can be used to assess the degree of iron stress experienced in these waters and likely in other regions where photoinhibition and nitrogen stress are not confounding factors.</t>
  </si>
  <si>
    <t>Univ Calif San Diego, Scripps Inst Oceanog, Geosci Res Div, La Jolla, CA 92093 USA; Univ Calif San Diego, Scripps Inst Oceanog, Integrat Oceanog Div, La Jolla, CA 92093 USA; Univ Hawaii, Dept Oceanog, Honolulu, HI 96822 USA; Univ Calif San Diego, Scripps Inst Oceanog, Div Marine Biol Res, La Jolla, CA 92093 USA</t>
  </si>
  <si>
    <t>University of California System; University of California San Diego; Scripps Institution of Oceanography; University of California System; University of California San Diego; Scripps Institution of Oceanography; University of Hawaii System; University of California System; University of California San Diego; Scripps Institution of Oceanography</t>
  </si>
  <si>
    <t>Barbeau, KA (corresponding author), Univ Calif San Diego, Scripps Inst Oceanog, Geosci Res Div, 9500 Gilman Dr, La Jolla, CA 92093 USA.</t>
  </si>
  <si>
    <t>kbarbeau@ucsd.edu</t>
  </si>
  <si>
    <t>Reynolds, Rick A/C-7470-2014</t>
  </si>
  <si>
    <t>Reynolds, Rick A/0000-0002-1579-3600; Barbeau, Katherine/0000-0002-2132-7219; Mitchell, B. Greg/0000-0002-8550-4333; Selph, Karen/0000-0001-7281-4706</t>
  </si>
  <si>
    <t>AMER SOC LIMNOLOGY OCEANOGRAPHY</t>
  </si>
  <si>
    <t>WACO</t>
  </si>
  <si>
    <t>5400 BOSQUE BLVD, STE 680, WACO, TX 76710-4446 USA</t>
  </si>
  <si>
    <t>10.4319/lo.2007.52.6.2540</t>
  </si>
  <si>
    <t>WOS:000251129700020</t>
  </si>
  <si>
    <t>Grange, LJ; Tyler, PA; Peck, LS</t>
  </si>
  <si>
    <t>Grange, Laura J.; Tyler, Paul A.; Peck, Lloyd S.</t>
  </si>
  <si>
    <t>Multi-year observations on the gametogenic ecology of the Antarctic seastar Odontaster validus</t>
  </si>
  <si>
    <t>MARINE BIOLOGY</t>
  </si>
  <si>
    <t>SCALLOP ADAMUSSIUM-COLBECKI; INVERTEBRATE REPRODUCTION; ROCKALL TROUGH; SEA; TEMPERATURE; CYCLES; LARVAE; SENSITIVITY; ECOSYSTEMS; DEMERSAL</t>
  </si>
  <si>
    <t>This study reports the first multi-year observations on the reproductive patterns for an Antarctic predator/scavenger, Odontaster validus (Koehler 1912). Seastars were collected monthly from a shallow site (15-20 m depth) near the British Antarctic Survey (BAS) Rothera Research Station (Adelaide Island, 67 degrees 34'S 68 degrees 08'W) from July 1997 to January 2001. Reproductive condition, oocyte size frequencies and spermatogenesis were examined in at least ten seastars each month using histological and image analysis techniques. Gonad indices (GI) and pyloric caeca indices (PI) were also examined in the same samples. Female and male GIs varied seasonally, in parallel with a reduction in the proportion of large oocytes and mature sperm in the gonad in August to mid-October following winter spawning. Despite there being remarkable consistency in the timing of spawning from year to year, differences in the reproductive condition of individuals were apparent. Patterns in the digestive tissues also varied with season, peaking in December and reaching a minimum in February in two of the three study years. This weaker annual pattern may partly reflect the varied diet of this predator/scavenger species, which is not directly dependant on the timing and magnitude of the annual phytoplankton bloom. Pooled oocyte size distributions and residual analysis suggested that oogenesis progressed over 18-24 months, with the largest of the two size classes (maximum diameter = 183 mu m) being spawned annually. This pattern of oocyte growth and spawning was previously reported in the early 1960s for an O. validus population from McMurdo Sound, which lies south of Rothera by 10 degrees latitude. The extremely catholic diet of this predator/scavenger suggests the reproductive patterns of the seastar will be less susceptible to changes in food supply compared to polar suspension feeders or deposit feeders.</t>
  </si>
  <si>
    <t>Univ Southampton, Sch Ocean &amp; Earth Sci, Southampton SO14 3ZH, Hants, England; British Antarctic Survey, Cambridge CB3 0ET, England</t>
  </si>
  <si>
    <t>NERC National Oceanography Centre; University of Southampton; UK Research &amp; Innovation (UKRI); Natural Environment Research Council (NERC); NERC British Antarctic Survey</t>
  </si>
  <si>
    <t>Grange, LJ (corresponding author), Univ Southampton, Sch Ocean &amp; Earth Sci, Southampton SO14 3ZH, Hants, England.</t>
  </si>
  <si>
    <t>laura_grange@hotmail.com</t>
  </si>
  <si>
    <t>Grange, Laura/E-8495-2014</t>
  </si>
  <si>
    <t>Grange, Laura/0000-0001-9222-6848</t>
  </si>
  <si>
    <t>0025-3162</t>
  </si>
  <si>
    <t>MAR BIOL</t>
  </si>
  <si>
    <t>Mar. Biol.</t>
  </si>
  <si>
    <t>10.1007/s00227-007-0776-z</t>
  </si>
  <si>
    <t>220EM</t>
  </si>
  <si>
    <t>WOS:000250139700003</t>
  </si>
  <si>
    <t>Pütz, K; Schiavini, A; Rey, AR; Lüthi, BH</t>
  </si>
  <si>
    <t>Puetz, Klemens; Schiavini, Adrian; Rey, Andrea Raya; Luethi, Benno H.</t>
  </si>
  <si>
    <t>Winter migration of magellanic penguins (Spheniscus magellanicus) from the southernmost distributional range</t>
  </si>
  <si>
    <t>ROCKHOPPER PENGUINS; SATELLITE TRACKING; EUDYPTES-CHRYSOCOME; DIET COMPOSITION; DIVING BEHAVIOR; FORAGING AREAS; PREY; PERFORMANCE; ATTACHMENT; ARGENTINA</t>
  </si>
  <si>
    <t>A total of 22 magellanic penguins (Spheniscus magellanicus) from Isla Martillo in the Beagle Channel, Argentina, were successfully satellite tracked in 2004 (n = 7), 2005 (n = 7) and 2006 (n = 8) to monitor their winter migration after moult. Only one magellanic penguin migrated northwards into the Pacific Ocean, whereas all others remained in the Atlantic Ocean. In general, these birds left the island in an easterly direction, rounded Cabo San Diego, the southeasterly tip of South America, and continued northwards occupying inshore waters mostly less than 50 km from the coast, only occasionally venturing further offshore. By the end of the transmission period, birds were still travelling northwards and the most northerly positions were obtained from birds located in the area of Peninsula Valdes, Argentina, at a latitude of around 42 degrees S, some 1,500 km from their breeding site on Isla Martillo. The mean maximum distance to the breeding site was, however, only 624 +/- 460 km. The mean minimum distance covered during the study period was 1,440 +/- 685 km, which corresponded to a mean distance of 23.2 +/- 6.6 km covered per day. The northbound migration of the penguins could be separated into periods of rapid movement, interspersed with periods during which the birds remained for some time in particular coastal regions. Areas with a high density of daily penguin positions were observed in three distinct areas: at the northeastern coast of Tierra del Fuego, at the southern entrance of Golfo San Jorge and to the northeast of the Peninsula Valdez. The observed migration pattern is presumably driven by the formation and subsequent dispersal of areas of enhanced productivity as the season progressed. Our findings also suggest that magellanic penguins are increasingly threatened by human activities in coastal areas as penguins migrate northwards.</t>
  </si>
  <si>
    <t>Consejo Natl Invest Cient &amp; Tecn, CADIC, Ushuaia, Tierra Del Fueg, Argentina; Wildlife Conservat Soc, Bronx, NY 10460 USA; Antarctic Res Trust Switzerland, CH-8127 Forch, Switzerland</t>
  </si>
  <si>
    <t>Consejo Nacional de Investigaciones Cientificas y Tecnicas (CONICET); Wildlife Conservation Society</t>
  </si>
  <si>
    <t>Pütz, K (corresponding author), Oste Hamme Kanal 10, D-27432 Bremervorde, Germany.</t>
  </si>
  <si>
    <t>puetz@antarctic-research.de</t>
  </si>
  <si>
    <t>Schiavini, Adrian Carlos Miguel/0000-0001-6621-4827; Puetz, Klemens/0000-0003-1375-2669; Raya Rey, Andrea/0000-0003-0127-6650</t>
  </si>
  <si>
    <t>1432-1793</t>
  </si>
  <si>
    <t>10.1007/s00227-007-0770-5</t>
  </si>
  <si>
    <t>220CK</t>
  </si>
  <si>
    <t>WOS:000250134300002</t>
  </si>
  <si>
    <t>Luigi, M; Gaetano, DM; Vivia, B; Angelina, LG</t>
  </si>
  <si>
    <t>Luigi, Michaud; Gaetano, Di Marco; Vivia, Bruni; Angelina, Lo Giudice</t>
  </si>
  <si>
    <t>Biodegradative potential and characterization of psychrotolerant polychlorinated biphenyl-degrading marine bacteria isolated from a coastal station in the Terra Nova Bay (Ross Sea, Antarctica)</t>
  </si>
  <si>
    <t>MARINE POLLUTION BULLETIN</t>
  </si>
  <si>
    <t>PCB-degradation; Antarctic marine bacteria; psychrotolerant bacteria; bacterial characterization</t>
  </si>
  <si>
    <t>PERSISTENT ORGANIC POLLUTANTS; ORGANOCHLORINE PESTICIDES; ARCTIC SOIL; DIESEL OIL; PCBS; FISH; MICROORGANISMS; HYDROCARBONS; ATMOSPHERE; CONGENERS</t>
  </si>
  <si>
    <t>Antarctic marine bacteria were screened for their ability to degrade polychlorinated biphenyls (PCB) as the sole carbon and energy source at both 4 degrees C and 15 degrees C. PCB-degrading isolates (7.1%) were identified by sequencing their 16S rDNA as Pseudoalteromonas, Psychrobacter and Arthrobacter members. One representative isolate per genera was selected for evaluating the biodegradative potential under laboratory scale and phenotypically characterized. Removal of individual PCB congeners was between 35.6% and 79.8% at 4 degrees C and between 0.4% and 82.8% at 15 degrees C. Differences in the removal patterns of PCB congeners were observed in relation to the phylogenetic affiliation: Arthrobacter isolate showed similar biodegradation efficiencies when growing at 4 degrees C and 15 degrees C while Pseudoalteromonas better degraded PCBs at 15 degrees C. No biodegradation was detected for Psychrobacter isolate at 4 degrees C. Results obtained highlight the occurrence of PCB-degrading bacteria in Antarctic seawater and suggest the potential exploitation of autochthonous bacteria for PCB bioremediation in cold marine environments. (C) 2007 Elsevier Ltd. All rights reserved.</t>
  </si>
  <si>
    <t>[Luigi, Michaud; Vivia, Bruni; Angelina, Lo Giudice] Univ Messina, DBAEM, I-98166 Messina, Italy; [Gaetano, Di Marco] Ist Proc Chimfis IPCF CNR, I-98123 Messina, Italy</t>
  </si>
  <si>
    <t>University of Messina; Consiglio Nazionale delle Ricerche (CNR); Istituto per i Processi Chimico-Fisici (IPCF-CNR)</t>
  </si>
  <si>
    <t>Luigi, M (corresponding author), Univ Messina, DBAEM, Salita Sperone 31, I-98166 Messina, Italy.</t>
  </si>
  <si>
    <t>0025-326X</t>
  </si>
  <si>
    <t>1879-3363</t>
  </si>
  <si>
    <t>MAR POLLUT BULL</t>
  </si>
  <si>
    <t>Mar. Pollut. Bull.</t>
  </si>
  <si>
    <t>10.1016/j.marpolbul.2007.07.011</t>
  </si>
  <si>
    <t>Environmental Sciences; Marine &amp; Freshwater Biology</t>
  </si>
  <si>
    <t>244MR</t>
  </si>
  <si>
    <t>WOS:000251870500022</t>
  </si>
  <si>
    <t>Barrow, T</t>
  </si>
  <si>
    <t>Barrow, Tony</t>
  </si>
  <si>
    <t>Whaling in the Falkland Island dependencies 1904-1931: A history of shore and bay based whaling in the Antarctic</t>
  </si>
  <si>
    <t>MARINERS MIRROR</t>
  </si>
  <si>
    <t>SOC NAUTICAL RESEARCH</t>
  </si>
  <si>
    <t>NATIONAL MARITIME MUSEUM GREENWICH, LONDON SE10 9NF, ENGLAND</t>
  </si>
  <si>
    <t>0025-3359</t>
  </si>
  <si>
    <t>Mar. Mirror</t>
  </si>
  <si>
    <t>238WO</t>
  </si>
  <si>
    <t>WOS:000251479100040</t>
  </si>
  <si>
    <t>Lundberg, J; Miocinovic, P; Woschnagg, K; Burgess, T; Adams, J; Hundertmark, S; Desiati, P; Niessen, P</t>
  </si>
  <si>
    <t>Lundberg, J.; Miocinovic, P.; Woschnagg, K.; Burgess, T.; Adams, J.; Hundertmark, S.; Desiati, P.; Niessen, P.</t>
  </si>
  <si>
    <t>Light tracking through ice and water - Scattering and absorption in heterogeneous media with PHOTONICS</t>
  </si>
  <si>
    <t>NUCLEAR INSTRUMENTS &amp; METHODS IN PHYSICS RESEARCH SECTION A-ACCELERATORS SPECTROMETERS DETECTORS AND ASSOCIATED EQUIPMENT</t>
  </si>
  <si>
    <t>numerical simulation; optical properties; Monte Carlo method; ray tracing; optical; neutrino detection</t>
  </si>
  <si>
    <t>NEUTRINO TELESCOPE; DEEP-SEA; TRANSMISSION; SITE</t>
  </si>
  <si>
    <t>In the field of neutrino astronomy, large volumes of optically transparent matter like glacial ice, lake water, or deep ocean water are used as detector media. Elementary particle interactions are studied using in situ detectors recording time distributions and fluxes of the faint photon fields of Cherenkov radiation generated by ultra-relativistic charged particles, typically muons or electrons. The PHOTONICS software package was developed to determine photon flux and time distributions throughout a volume containing a light source through Monte Carlo simulation. Photons are propagated and time distributions are recorded throughout a cellular grid constituting the simulation volume, and Mie scattering and absorption are realised using wavelength and position dependent parameterisations. The photon tracking results are stored in binary tables for transparent access through ANSI-C and C++ interfaces. For higher-level physics applications, like simulation or reconstruction of particle events, it is then possible to quickly acquire the light yield and time distributions for a pre-specified set of light source and detector properties and geometries without real-time photon propagation. In this paper the PHOTONICS light propagation routines and methodology are presented and applied to the IceCube and ANTARES neutrino telescopes. The way in which inhomogeneities of the Antarctic glacial ice distort the signatures of elementary particle interactions, and how PHOTONICS can be used to account for these effects, is described. (c) 2007 Elsevier B.V. All rights reserved.</t>
  </si>
  <si>
    <t>Uppsala Univ, Div High Energy Phys, Uppsala, Sweden; Univ Hawaii, Dept Phys &amp; Astron, Honolulu, HI 96822 USA; Univ Calif Berkeley, Dept Phys, Berkeley, CA 94720 USA; Stockholm Univ, Dept Phys, S-10691 Stockholm, Sweden; Univ Canterbury, Dept Phys &amp; Astron, Christchurch 1, New Zealand; Univ Wisconsin, Dept Phys, Madison, WI 53706 USA; Univ Delaware, Bartol Res Inst, Newark, DE 19716 USA</t>
  </si>
  <si>
    <t>Uppsala University; University of Hawaii System; University of California System; University of California Berkeley; Stockholm University; University of Canterbury; University of Wisconsin System; University of Wisconsin Madison; University of Delaware</t>
  </si>
  <si>
    <t>Lundberg, J (corresponding author), Uppsala Univ, Div High Energy Phys, Uppsala, Sweden.</t>
  </si>
  <si>
    <t>johan.lundberg@tsl.uu.se</t>
  </si>
  <si>
    <t>Hundertmark, Stephan/A-6592-2010</t>
  </si>
  <si>
    <t>Desiati, Paolo/0000-0001-9768-1858</t>
  </si>
  <si>
    <t>0168-9002</t>
  </si>
  <si>
    <t>NUCL INSTRUM METH A</t>
  </si>
  <si>
    <t>Nucl. Instrum. Methods Phys. Res. Sect. A-Accel. Spectrom. Dect. Assoc. Equip.</t>
  </si>
  <si>
    <t>10.1016/j.nima.2007.07.143</t>
  </si>
  <si>
    <t>Instruments &amp; Instrumentation; Nuclear Science &amp; Technology; Physics, Nuclear; Physics, Particles &amp; Fields</t>
  </si>
  <si>
    <t>Instruments &amp; Instrumentation; Nuclear Science &amp; Technology; Physics</t>
  </si>
  <si>
    <t>234GF</t>
  </si>
  <si>
    <t>WOS:000251148000007</t>
  </si>
  <si>
    <t>Innis, J; Cunningham, A; Graham, A; Klekociuk, A</t>
  </si>
  <si>
    <t>Innis, John; Cunningham, Andrew; Graham, Anthony; Klekociuk, Andrew</t>
  </si>
  <si>
    <t>Automatically guiding a telescope to a laser beam on a biaxial antarctic light detection and ranging system</t>
  </si>
  <si>
    <t>OPTICAL ENGINEERING</t>
  </si>
  <si>
    <t>LIDAR; LIDAR alignment; autoguiding; telescopes</t>
  </si>
  <si>
    <t>MIDDLE ATMOSPHERE; LIDAR; ALIGNMENT</t>
  </si>
  <si>
    <t>The operating principle of atmospheric Rayleigh LIDAR (light detection and ranging) systems is that the range-corrected returnbackscatter signal is directly related to atmospheric density. For this to be the case full overlap is required between the backscattered laser signal and the field of view of the receive telescope. Time-dependent errors in this alignment compromise the experimental method, and confuse the interpretation of geophysical signals present in the data. We describe a means of locking the alignment of a small LIDAR telescope to the backscattered laser beam, using images obtained with a commercial charge-coupled device camera, to reduce the effects of relative movement of telescope and laser on field overlap. This autoguiding system is implemented on a biaxial Rayleigh LIDAR in operation in Antarctica. We achieve a positional precision near 3 camera pixels (1 pixel similar to 1 arc second) across the beam, and 7 camera pixels along the beam. Positional corrections are generated once per minute. The system is capable of removing medium-and long-term drifts in the relative alignment of our telescope and laser during an observing run. (c) 2007 Society of Photo-Optical Instrumentation Engineers.</t>
  </si>
  <si>
    <t>[Innis, John; Cunningham, Andrew; Graham, Anthony; Klekociuk, Andrew] Australian Antarctic Div, Kingston, Tas 7050, Australia</t>
  </si>
  <si>
    <t>Innis, J (corresponding author), Australian Antarctic Div, Channel Highway, Kingston, Tas 7050, Australia.</t>
  </si>
  <si>
    <t>john.innis@aad.gov.au</t>
  </si>
  <si>
    <t>Klekociuk, Andrew/A-4498-2015</t>
  </si>
  <si>
    <t>Klekociuk, Andrew/0000-0003-3335-0034</t>
  </si>
  <si>
    <t>SPIE-SOC PHOTOPTICAL INSTRUMENTATION ENGINEERS</t>
  </si>
  <si>
    <t>0091-3286</t>
  </si>
  <si>
    <t>OPT ENG</t>
  </si>
  <si>
    <t>Opt. Eng.</t>
  </si>
  <si>
    <t>10.1117/1.2801411</t>
  </si>
  <si>
    <t>Optics</t>
  </si>
  <si>
    <t>239WP</t>
  </si>
  <si>
    <t>WOS:000251549300030</t>
  </si>
  <si>
    <t>Dutton, A; Huber, BT; Lohmann, KC; Zinsmeister, WJ</t>
  </si>
  <si>
    <t>Dutton, Andrea; Huber, Brian T.; Lohmann, Kyger C.; Zinsmeister, William J.</t>
  </si>
  <si>
    <t>High-resolution stable isotope profiles of a dimitobelid belemnite: Implications for paleodepth habitat and late maastrichtian climate seasonality</t>
  </si>
  <si>
    <t>PALAIOS</t>
  </si>
  <si>
    <t>LATE CRETACEOUS SEASONALITY; SOUTHERN HIGH-LATITUDES; POLE THERMAL-GRADIENTS; OCEANIC ANOXIC EVENT; JAMES-ROSS-ISLAND; OXYGEN-ISOTOPE; PALEOCEANOGRAPHIC CHANGES; RUDIST BIVALVES; PALEOTEMPERATURES; ANTARCTICA</t>
  </si>
  <si>
    <t>Oxygen and carbon isotope ratios were measured on belemnites, planktonic foraminifera, and benthic foraminifera collected from Late Cretaceous sediments on Seymour Island, Antarctic Peninsula, to compare the relative depth habitats of these organisms and to provide insight on temperature seasonality at high southern latitudes near the end of the Cretaceous. Average delta O-18 and delta C-13 values of the belemnite Dimitobelus seymouriensis overlap with those of benthic foraminifera; these values are significantly different (p &lt; 0.01) from isotopic compositions recorded by planktonic foraminifera. This comparison shows that A seymouriensis likely inhabited waters below the surface summer mixed layer of the outer shelf. These results suggest that average delta O-18 of D. seymouriensis is a good indicator of intermediate-to-deep-shelf water conditions, which in this locality is a good approximation for pelagic water temperatures in the Southern Ocean. Measurements of delta O-18 on high-resolution samples across belemnite growth bands indicate that annual temperature variability of sub-mixed-layer neritic water along the Antarctic coastline was 5 degrees C on average with a mean annual temperature of 6 degrees C.</t>
  </si>
  <si>
    <t>Univ Michigan, Dept Geol Sci, Ann Arbor, MI 48109 USA; Smithsonian Museum Nat Hist, Dept Paleobiol, Washington, DC 20013 USA; Purdue Univ, Dept Earth &amp; Atmospher Sci, W Lafayette, IN 47907 USA</t>
  </si>
  <si>
    <t>University of Michigan System; University of Michigan; Smithsonian Institution; Smithsonian National Museum of Natural History; Purdue University System; Purdue University</t>
  </si>
  <si>
    <t>Dutton, A (corresponding author), Australian Natl Univ, Res Sch Earth Sci, 1 Mills Rd, Canberra, ACT 0200, Australia.</t>
  </si>
  <si>
    <t>Andrea.Dutton@anu.edu.au</t>
  </si>
  <si>
    <t>Dutton, Andrea/A-2506-2008</t>
  </si>
  <si>
    <t>Dutton, Andrea/0000-0002-3836-119X; Lohmann, Kyger/0000-0002-0709-9192</t>
  </si>
  <si>
    <t>SEPM-SOC SEDIMENTARY GEOLOGY</t>
  </si>
  <si>
    <t>TULSA</t>
  </si>
  <si>
    <t>6128 EAST 38TH ST, STE 308, TULSA, OK 74135-5814 USA</t>
  </si>
  <si>
    <t>0883-1351</t>
  </si>
  <si>
    <t>Palaios</t>
  </si>
  <si>
    <t>10.2110/palo.2005.p05-064r</t>
  </si>
  <si>
    <t>227DS</t>
  </si>
  <si>
    <t>WOS:000250638000007</t>
  </si>
  <si>
    <t>Konno, S; Jordan, RW</t>
  </si>
  <si>
    <t>Konno, Susumu; Jordan, Richard W.</t>
  </si>
  <si>
    <t>An amended terminology for the Parmales (Chrysophyceae)</t>
  </si>
  <si>
    <t>NEWLY DISCOVERED CYSTS; SILICEOUS NANOPLANKTON; SEA; ANTARCTICA; ORDER; GULF</t>
  </si>
  <si>
    <t>Recent studies on Antarctic microplankton have revealed interesting and seemingly overlooked information on the shape and arrangement of the cell wall plates of species belonging to the Triparmaceae (Parmales, Chrysophyceae). In contrast to previous work, it is now known that Tetraparma has four plate types (shield, girdle, ventral and dorsal), suggesting a much closer relation to Triparma. A study of the literature has also provided an opportunity to re-evaluate the plate arrangement in Pentalamina. These revelations have brought about a need to revise the current terminology of the cell wall plates, as well as emendations to the order, family and generic descriptions.</t>
  </si>
  <si>
    <t>Yamagata Univ, Fac Sci, Dept Earth &amp; Environm Sci, Yamagata 9908560, Japan; Yamagata Univ, Grad Sch Sci &amp; Engn, Yamagata 9908560, Japan</t>
  </si>
  <si>
    <t>Yamagata University; Yamagata University</t>
  </si>
  <si>
    <t>Jordan, RW (corresponding author), Yamagata Univ, Fac Sci, Dept Earth &amp; Environm Sci, 1-4-12 Kojirakawa Machi, Yamagata 9908560, Japan.</t>
  </si>
  <si>
    <t>sh081@kdw.kj.yamagata-u.ac.jp</t>
  </si>
  <si>
    <t>Jordan, Richard/0000-0002-8997-7349</t>
  </si>
  <si>
    <t>ALLEN PRESS INC</t>
  </si>
  <si>
    <t>810 E 10TH ST, LAWRENCE, KS 66044 USA</t>
  </si>
  <si>
    <t>10.2216/07-29.1</t>
  </si>
  <si>
    <t>227ZD</t>
  </si>
  <si>
    <t>WOS:000250695600002</t>
  </si>
  <si>
    <t>Ayub, ND; Pettinari, MJ; Méndez, BS; López, NI</t>
  </si>
  <si>
    <t>Ayub, Nicolas D.; Pettinari, M. Julia; Mendez, Beatriz S.; Lopez, Nancy I.</t>
  </si>
  <si>
    <t>The polyhydroxyalkanoate genes of a stress resistant Antarctic Pseudomonas are situated within a genomic island</t>
  </si>
  <si>
    <t>PLASMID</t>
  </si>
  <si>
    <t>polyhydroxyalkanoates; genomic islands; pseudomonas; Antarctica</t>
  </si>
  <si>
    <t>PATHOGENICITY ISLANDS; BIOSYNTHESIS; BACTERIA; POLY(3-HYDROXYBUTYRATE); OLEOVORANS; EVOLUTION; SYNTHASES; VIRULENCE; SURVIVAL; ELEMENTS</t>
  </si>
  <si>
    <t>Pseudomonas sp. 14-3 is an Antarctic bacterium that shows high stress resistance in association with high polyhydroxybutyrate (PHB) production. In this paper genes involved in PHB biosynthesis (phaRBAC) were found within a genomic island named pha-GI. Numerous mobile elements or proteins associated with them, such as an integrase, insertion sequences, a bacterial group II intron, a complete Type I protein secretion system and IncP plasmid-related proteins were detected among the 28 ORFs identified in this large genetic element (32.3 kb). The G + C distribution was not homogeneous, likely reflecting a mosaic structure that contains regions from diverse origins. pha-GI has strong similarities with genomic islands found in diverse Proteobacteria, including Burkholderiales species and Azotobacter vinelandii. The G + C content, phylogeny inference and codon usage analysis showed that the phaBAC cluster itself has a complex mosaic structure and indicated that the phaB and phaC genes were acquired by horizontal transfer, probably derived from Burkholderiales. These results describe for the first time a pha cluster located within a genomic island, and suggest that horizontal transfer of pha genes is a mechanism of adaptability to stress conditions such as those found in the extreme Antarctic environment. (c) 2007 Elsevier Inc. All rights reserved.</t>
  </si>
  <si>
    <t>Univ Buenos Aires, Fac Ciencias Exactas &amp; Nat, Dept Quim Biol, RA-1428 Buenos Aires, DF, Argentina</t>
  </si>
  <si>
    <t>López, NI (corresponding author), Univ Buenos Aires, Fac Ciencias Exactas &amp; Nat, Dept Quim Biol, Ciudad Univ, RA-1428 Buenos Aires, DF, Argentina.</t>
  </si>
  <si>
    <t>nan@qb.fcen.uba.ar</t>
  </si>
  <si>
    <t>Pettinari, M. Julia/B-7404-2011</t>
  </si>
  <si>
    <t>Pettinari, Julia/0000-0002-6130-4740; Ayub, Nicolas/0000-0001-5012-240X; Lopez, Nancy/0000-0002-2966-3014</t>
  </si>
  <si>
    <t>0147-619X</t>
  </si>
  <si>
    <t>1095-9890</t>
  </si>
  <si>
    <t>Plasmid</t>
  </si>
  <si>
    <t>10.1016/j.plasmid.2007.05.003</t>
  </si>
  <si>
    <t>Genetics &amp; Heredity; Microbiology</t>
  </si>
  <si>
    <t>233RD</t>
  </si>
  <si>
    <t>WOS:000251107100003</t>
  </si>
  <si>
    <t>Palm, HW; Klimpel, S; Walter, T</t>
  </si>
  <si>
    <t>Palm, Harry W.; Klimpel, Sven; Walter, Thorsten</t>
  </si>
  <si>
    <t>Demersal fish parasite fauna around the South Shetland Islands: high species richness and low host specificity in deep Antarctic waters</t>
  </si>
  <si>
    <t>Antarctic fishes; distribution; endemic parasites; cosmopolitan parasites; generalist; parasite diversity; host specificity; South Shetland Islands; transmission; zoogeography; food web</t>
  </si>
  <si>
    <t>ICEFISHES CHANNICHTHYIDAE; CONTRACAECUM-RADIATUM; NOTOTHENIA-CORIICEPS; METAZOAN PARASITES; ELEPHANT ISLAND; UNIQUE FAMILY; MCMURDO SOUND; LIFE-CYCLE; NEMATODA; DIET</t>
  </si>
  <si>
    <t>A total of nine Antarctic fish species belonging to five families were examined for their endohelminth parasite fauna. The fishes Parachaenichthys charcoti (Bathydraconidae), Chaenocephalus aceratus (Channichtyidae), Paradiplospinus gracilis (Gempylidae), Muraenolepis microps (Muraenolepididae), Gobionotothen gibberifrons, Lepidonotothen larseni, L. nudifrons, L. squamifrons, and Trematomus eulepidopus (Nototheniidae) were caught between 80 and 608 m trawling depth off the Antarctic Peninsula (Elephant Island, King George Island) in 1996. Nineteen different parasites species comprising five Digenea, two Cestoda, four Nematoda, and eight Acanthocephala were found. Pseudophyllidean cestodes, the nematodes Contracaecum radiatum and C. osculatum as well as the acanthocephalan Corynosoma bullosum were the most common, infesting eight of the fish species studied with prevalences reaching 100%. Pseudoterranova decipiens s.l. was the only parasite that was isolated from all studied fish species; however, at a lower intensity. The observed parasite host specificity was low, and the species richness in a single fish ranged from one to eleven in a C. aceratus. This icefish and the moray cod M. microps were the most heavily infested fish, harbouring many adult and larval parasitic stages. The benthodemersal P. gracilis had only two larval parasite species, while the nototheniids had very similar parasite communities, harbouring a total of 8-14 species. Larval mammalian parasites were found to utilize fish, especially the nototheniids and channichthyids, as a common transmission route into their final hosts. The fish parasites parallel explored different benthic host systems to reach the most suitable host. In contrast to the coast and continental shelf, the meso/bathypelagiac zone appears to be species poor and is inhabited by few larval forms. The fish parasite fauna off the South Shetland Islands can be characterized by generalistic parasites that distribute within Antarctic waters according to the feeding ecology and depth range of their teleost hosts, not only horizontally but also extending vertically into the deep sea.</t>
  </si>
  <si>
    <t>Univ Dusseldorf, Inst Zoomorphol Cell Biol &amp; Parasitol, D-40225 Dusseldorf, Germany</t>
  </si>
  <si>
    <t>Heinrich Heine University Dusseldorf</t>
  </si>
  <si>
    <t>Palm, HW (corresponding author), Univ Dusseldorf, Inst Zoomorphol Cell Biol &amp; Parasitol, Univ Str 1, D-40225 Dusseldorf, Germany.</t>
  </si>
  <si>
    <t>hpalm@indo.net.id</t>
  </si>
  <si>
    <t>10.1007/s00300-007-0312-0</t>
  </si>
  <si>
    <t>217AN</t>
  </si>
  <si>
    <t>WOS:000249920800001</t>
  </si>
  <si>
    <t>Reid, WDK; Clarke, S; Collins, MA; Belchier, M</t>
  </si>
  <si>
    <t>Reid, William D. K.; Clarke, Sarah; Collins, Martin A.; Belchier, Mark</t>
  </si>
  <si>
    <t>Distribution and ecology of Chaenocephalus aceratus (Channichthyidae) around South Georgia and Shag Rocks (Southern Ocean)</t>
  </si>
  <si>
    <t>age; growth; ontogenetic; resource partitioning; Scotia Sea icefish</t>
  </si>
  <si>
    <t>ICEFISH CHAMPSOCEPHALUS-GUNNARI; ANTARCTIC NOTOTHENIOID FISHES; SHETLAND ISLANDS; MACKEREL ICEFISH; COMMUNITY; STOCKS</t>
  </si>
  <si>
    <t>Chaenocephalus aceratus (Family Channicthyidae) is one of the dominant species of demersal fish living on the South Georgia shelf where it is caught in low numbers as by-catch in the mackerel icefish and Antarctic krill commercial fisheries. Data collected during 14 demersal fish surveys, from 1986 to 2006, are analysed to investigate biomass, distribution, growth and diet. Biomass estimates from a swept area method ranged from 4,462 to 28,740 tonnes on the South Georgia and Shag Rock shelves although few fish were caught at Shag Rocks. Analysis of length frequency data indicated that growth was fast in the first five years with males and females attaining lengths at first spawning of 440 mm TL and 520 mm TL. The diet was comprised of fish and crustaceans, with an ontogenetic shift in diet from Euphausia superba and mysids to benthic fish and decapods observed to begin at 250 mm TL. In larger fish (&gt; 500 mm TL) the diet was dominated by fish. C. aceratus diet is sufficiently different from the other species of channichthyids around South Georgia to suggest that these species have undergone resource partitioning.</t>
  </si>
  <si>
    <t>British Antarctic Survey, NERC, Biol Sci Div, Cambridge CB3 0ET, England</t>
  </si>
  <si>
    <t>Collins, MA (corresponding author), British Antarctic Survey, NERC, Biol Sci Div, High Cross,Madingley Rd, Cambridge CB3 0ET, England.</t>
  </si>
  <si>
    <t>Collins, Martin A/J-8560-2017; , Martin/ABE-6728-2020; Reid, William/J-8528-2013</t>
  </si>
  <si>
    <t>, Martin/0000-0001-7132-8650; Reid, William/0000-0003-0190-0425</t>
  </si>
  <si>
    <t>10.1007/s00300-007-0313-z</t>
  </si>
  <si>
    <t>WOS:000249920800002</t>
  </si>
  <si>
    <t>Park, JH; Day, TA</t>
  </si>
  <si>
    <t>Park, Ji-Hyung; Day, Thomas A.</t>
  </si>
  <si>
    <t>Temperature response of CO2 exchange and dissolved organic carbon release in a maritime Antarctic tundra ecosystem</t>
  </si>
  <si>
    <t>CLIMATE-CHANGE; VASCULAR PLANTS; TERRESTRIAL ECOSYSTEMS; COLOBANTHUS-QUITENSIS; SOIL RESPIRATION; CYCLE FEEDBACKS; NITROGEN; ACCLIMATION; VEGETATION; SPODOSOL</t>
  </si>
  <si>
    <t>We examined the temperature response of CO2 exchange and soil biogeochemical processes in an Antarctic tundra ecosystem using laboratory incubations of intact tundra cores. The cores were collected from tundra near Anvers Island along the west coast of the Antarctic Peninsula that was dominated by the vascular plants Colobanthus quitensis and Deschampsia antarctica. After the initial 8-week incubation at moderate growth temperatures (12/7 degrees C, day/night), the tundra cores were incubated for another 8 weeks at either a higher (17/ 12 degrees C) or lower (7/ 4 degrees C) temperature regime. Temperature responses of CO2 exchange were measured at five temperatures (4, 7, 12, 17, and 27 degrees C) following each incubation and soil leachates were collected biweekly over the second incubation. Daytime net ecosystem CO2 exchange (NEE) per unit core surface area was higher across the five measurement temperatures after the warmer incubation (17/ 12 degrees C &gt; 7/4 degrees C). Responses of ecosystem respiration (ER) were similar at each measurement temperature irrespective of incubation temperature regimes. ER, expressed on a leaf-area basis, however, was significantly lower following the warmer incubation, suggesting a downregulation of ER. Warmer incubation resulted in a greater specific leaf area and N concentration, and a lower delta C-13 in live aboveground C. quitensis, but a higher delta C-13 in D. antarctica, implying species-specific responses to warming. Concentrations of dissolved organic C and N and inorganic N in soil leachates showed that short-term temperature changes had no noticeable effect on soil biogeochemical processes. The results suggest that downregulation of ER, together with plant species differences in leaf-area production and N use, can play a crucial role in constraining the C-cycle response of Antarctic tundra ecosystems to warming.</t>
  </si>
  <si>
    <t>Kangwon Natl Univ, Coll Forest &amp; Environm Sci, Chunchon 200701, South Korea; Arizona State Univ, Sch Life Sci, Tempe, AZ 85287 USA</t>
  </si>
  <si>
    <t>Kangwon National University; Arizona State University; Arizona State University-Tempe</t>
  </si>
  <si>
    <t>Park, JH (corresponding author), Kangwon Natl Univ, Coll Forest &amp; Environm Sci, Chunchon 200701, South Korea.</t>
  </si>
  <si>
    <t>jihyungpark@kangwon.ac.kr</t>
  </si>
  <si>
    <t>Day, Thomas/B-1462-2008</t>
  </si>
  <si>
    <t>Day, Thomas/0000-0002-1582-4585</t>
  </si>
  <si>
    <t>10.1007/s00300-007-0314-y</t>
  </si>
  <si>
    <t>WOS:000249920800003</t>
  </si>
  <si>
    <t>Schiaparelli, S; Ghirardo, C; Bohn, J; Chiantore, M; Albertelli, G; Cattaneo-Vietti, R</t>
  </si>
  <si>
    <t>Schiaparelli, S.; Ghirardo, C.; Bohn, J.; Chiantore, M.; Albertelli, G.; Cattaneo-Vietti, R.</t>
  </si>
  <si>
    <t>Antarctic associations:: the parasitic relationship between the gastropod Bathycrinicola tumidula (Thiele, 1912) (Ptenoglossa: Eulimidae) and the comatulid Notocrinus virilis Mortensen, 1917 (Crinoidea: Notocrinidae) in the Ross Sea</t>
  </si>
  <si>
    <t>TERRA-NOVA BAY; BENTHIC FAUNA; ECHINODERMATA; PROSOBRANCHIA; BIOGEOGRAPHY; EVOLUTION; REVISION; MOLLUSKS; ORIGIN; ISLAND</t>
  </si>
  <si>
    <t>The first case of parasitic association between an eulimid mollusc (Gastropoda, Ptenoglossa) and a comatulid (Echinodermata: Crinoidea) is reported for Antarctica. The mollusc involved in the association is Eulima tumidula Thiele, 1912, which has now been ascribed to the genus Bathycrinicola Bouchet &amp; Waren, 1986, never recognized before in Antarctica. This genus is present only in the NE Atlantic Ocean and the Mediterranean Sea, and encompass species which are specific parasites of the sessile stalked crinoids of the family Bathycrinidae. However, in Antarctica, Bathycrinicola tumidula (Thiele, 1912) exploits the endemic vagile comatulid Notocrinus virilis Mortensen, 1917, and attains the largest known dimensions (similar to 1 cm) for a Bathycrinicola species. The absence of suitable Bathycrinidae host in modern Antarctic benthic assemblages, as well as the long paleontological history of the genus Notocrinus in Antarctica, suggest a possible 'Cyhost-switch' phenomenon. This event could reasonably have occurred when many species underwent considerable bathymetric shifts, during the dramatic climatic changes that affected Antarctica.</t>
  </si>
  <si>
    <t>Univ Genoa, MNA, I-16132 Genoa, Italy; Univ Genoa, Dipartimento Studio Terr &amp; Risorser, I-16132 Genoa, Italy; Zool Staatssammlung Munchen, D-81247 Munich, Germany</t>
  </si>
  <si>
    <t>University of Genoa; University of Genoa</t>
  </si>
  <si>
    <t>Schiaparelli, S (corresponding author), Univ Genoa, MNA, Cso Europa 26, I-16132 Genoa, Italy.</t>
  </si>
  <si>
    <t>steschia@dipteris.unige.it; J.Bohn@zsm.mwn.de</t>
  </si>
  <si>
    <t>Schiaparelli, Stefano/AAI-4024-2020; Chiantore, Mariachiara/C-7070-2017</t>
  </si>
  <si>
    <t>Schiaparelli, Stefano/0000-0002-0137-3605; Chiantore, Mariachiara/0000-0002-5862-1470</t>
  </si>
  <si>
    <t>10.1007/s00300-007-0315-x</t>
  </si>
  <si>
    <t>WOS:000249920800004</t>
  </si>
  <si>
    <t>Jones, DOB; Bett, BJ; Tyler, PA</t>
  </si>
  <si>
    <t>Jones, Daniel O. B.; Bett, Brian J.; Tyler, Paul A.</t>
  </si>
  <si>
    <t>Depth-related changes to density, diversity and structure of benthic megafaunal assemblages in the Fimbul ice shelf region, Weddell Sea, Antarctica</t>
  </si>
  <si>
    <t>polar; ecology; deep-sea; photography; towed camera platform; Antarctic; megabenthos</t>
  </si>
  <si>
    <t>MCMURDO-SOUND; COMMUNITIES; IMPACT; INVERTEBRATES; BIODIVERSITY; MEGABENTHOS; DISTURBANCE; PARAMETERS; ABUNDANCE; DYNAMICS</t>
  </si>
  <si>
    <t>The depth-related patterns in the benthic megafauna of the NE Weddell Sea shelf at the edge of the Fimbul Ice Shelf were investigated at seven sites using towed camera platform photographs. Megafaunal density decreased with depth from 77,939 ha(-1) at 245 m to 8,895 ha(-1) at 510 m. While diversity was variable, with H ' ranging between 1.34 and 2.28, there were no depth related patterns. Multivariate analyses revealed two distinct assemblages; a shallow assemblage with dense patches of suspension feeders in undisturbed areas and a deep assemblage where these were not present. Disturbance from icebergs explained many observed patterns in faunal distribution. In shallow waters probable effects of disturbance were observed as changes in successional stages; in deeper waters changes in habitat as a result of past disturbance explained faunal distributions. In deeper areas ice ploughing created a mosaic landscape of fine and coarse sediments. Total megafaunal density was highest in areas of coarse sediment (up to 2.9 higher than in finer sediment areas) but diversity was highest in intermediate areas (H ' = 2.35).</t>
  </si>
  <si>
    <t>Natl Oceanog Ctr, DEEPSEAS Grp, Southampton SO14 3ZH, Hants, England</t>
  </si>
  <si>
    <t>NERC National Oceanography Centre; University of Southampton</t>
  </si>
  <si>
    <t>Jones, DOB (corresponding author), Natl Oceanog Ctr, DEEPSEAS Grp, European Way, Southampton SO14 3ZH, Hants, England.</t>
  </si>
  <si>
    <t>dj1@noc.soton.ac.uk</t>
  </si>
  <si>
    <t>Jones, Daniel/A-3412-2009</t>
  </si>
  <si>
    <t>Jones, Daniel/0000-0001-5218-1649</t>
  </si>
  <si>
    <t>Natural Environment Research Council [soc010009] Funding Source: researchfish; NERC [soc010009] Funding Source: UKRI</t>
  </si>
  <si>
    <t>10.1007/s00300-007-0319-6</t>
  </si>
  <si>
    <t>WOS:000249920800008</t>
  </si>
  <si>
    <t>Cowan, DA; Casanueva, A</t>
  </si>
  <si>
    <t>Cowan, Don A.; Casanueva, Ana</t>
  </si>
  <si>
    <t>Stability of ATP in Antarctic mineral soils</t>
  </si>
  <si>
    <t>ATP; bioluminescence; antarctica; dry valleys; degradation; stability</t>
  </si>
  <si>
    <t>ADENOSINE-TRIPHOSPHATE; SURFACE CLEANLINESS; MICROBIAL BIOMASS; BIOLUMINESCENCE; CONTAMINATION; MODULATION; ADSORPTION; DYNAMICS; NUMBERS</t>
  </si>
  <si>
    <t>The stability of exogenous ATP in Antarctic Ross desert soils has been assessed using bioluminescence monitoring of ATP-supplemented samples. Under typical east Antarctic dry valley summer conditions (-3 to +15 degrees C), exogenous ATP was degraded with a half-life of between 0.5 and 30 h. The rate of degradation was affected, in order of significance, by soil biomass levels, temperature and water content. Such rapid removal of exogenous ATP strongly suggests that extracellular ATP from lysed cells in cold desiccated soils does not make a significant contribution to the standing ATP titre.</t>
  </si>
  <si>
    <t>Univ Western Cape, Dept Biotechnol, ZA-7535 Bellville, South Africa</t>
  </si>
  <si>
    <t>University of the Western Cape</t>
  </si>
  <si>
    <t>Cowan, DA (corresponding author), Univ Western Cape, Dept Biotechnol, Private Bag X17, ZA-7535 Bellville, South Africa.</t>
  </si>
  <si>
    <t>dcowan@uwc.ac.za</t>
  </si>
  <si>
    <t>Cowan, Donald A/E-3991-2012</t>
  </si>
  <si>
    <t>Cowan, Donald A/0000-0001-8059-861X</t>
  </si>
  <si>
    <t>10.1007/s00300-007-0324-9</t>
  </si>
  <si>
    <t>WOS:000249920800010</t>
  </si>
  <si>
    <t>Papetti, C; Susana, E; La Mesa, M; Kock, KH; Patarnello, T; Zane, L</t>
  </si>
  <si>
    <t>Papetti, Chiara; Susana, Emanuele; La Mesa, Mario; Kock, Karl-Hermann; Patarnello, Tomaso; Zane, Lorenzo</t>
  </si>
  <si>
    <t>Microsatellite analysis reveals genetic differentiation between year-classes in the icefish Chaenocephalus aceratus at South Shetlands and Elephant Island</t>
  </si>
  <si>
    <t>Chaenocephalus aceratus; Notothenioidei; by-catch species; microsatellites; stock; sex; age; year-classes; cohorts</t>
  </si>
  <si>
    <t>EFFECTIVE POPULATION-SIZE; ANTARCTIC FISH STOCKS; SCOTIA ARC REGION; COD GADUS-MORHUA; MARINE FISH; EMPIRICAL-EVALUATION; DNA MARKERS; LOCI; SEA; STABILITY</t>
  </si>
  <si>
    <t>Chaenocephalus aceratus is one of the most abundant Antarctic icefish species in the Atlantic sector and has been a by-catch species in the fishery for mackerel icefish, Champsocephalus gunnari, between the mid-1970s and mid-1980s at South Georgia, South Orkney, and South Shetland Islands. The species became the target of the fishery in particular seasons, such as at South Georgia in 1977/78. In our paper, we report results on genetic differentiation for 11 microsatellite loci in C. aceratus samples collected at the South Shetlands and Elephant Island. This study represents the first report on microsatellite variability of an icefish species. Our results support the evidence from previous studies on differences in infestation patterns of parasites that a single panmictic population of C. aceratus exists, spanning the two sampling sites separated by about 100 km. Moreover, our study indicates the presence of a significant genetic differentiation between individual year-classes pointing out the existence of dynamic processes acting at the population genetic level, according to recent results for broadly distributed marine species. Both small effective population size and immigration from unsampled differentiated stocks may be at the base of the differentiation found in C. aceratus.</t>
  </si>
  <si>
    <t>Univ Padua, Dept Biol, I-35121 Padua, Italy; Univ Padua, Dept Publ Hlth Comparat Pathol &amp; Vet Hyg, I-35020 Legnaro, Italy; CNR, ISMAR, Inst Marine Sci, Marine Fishery Sect, I-60125 Ancona, Italy; Inst Seefischerei, Bundesforschungsanstalt Fischerei, D-22767 Hamburg, Germany</t>
  </si>
  <si>
    <t>University of Padua; University of Padua; Consiglio Nazionale delle Ricerche (CNR); Istituto di Scienze Marine (ISMAR-CNR)</t>
  </si>
  <si>
    <t>Zane, L (corresponding author), Univ Padua, Dept Biol, Via U Bassi 58-B, I-35121 Padua, Italy.</t>
  </si>
  <si>
    <t>lorenzo.zane@unipd.it</t>
  </si>
  <si>
    <t>Zane, Lorenzo/G-6249-2010; CNR, Ismar/P-1247-2014</t>
  </si>
  <si>
    <t>Zane, Lorenzo/0000-0002-6963-2132; PATARNELLO, Tomaso/0000-0003-1794-5791; CNR, Ismar/0000-0001-5351-1486; Papetti, Chiara/0000-0002-4567-459X</t>
  </si>
  <si>
    <t>10.1007/s00300-007-0325-8</t>
  </si>
  <si>
    <t>WOS:000249920800011</t>
  </si>
  <si>
    <t>Miller, AK; Trivelpiece, WZ</t>
  </si>
  <si>
    <t>Miller, Aileen K.; Trivelpiece, Wayne Z.</t>
  </si>
  <si>
    <t>Cycles of Euphausia superba recruitment evident in the diet of Pygoscelid penguins and net trawls in the South Shetland Islands, Antarctica</t>
  </si>
  <si>
    <t>Chinstrap penguin; Gentoo penguin; Euphausia superba; recruitment; sex-ratios; spatial distribution</t>
  </si>
  <si>
    <t>SEA-ICE; CHINSTRAP PENGUINS; VERTICAL MIGRATION; PACK-ICE; KRILL; VARIABILITY; CRUSTACEA; BEHAVIOR; ECOLOGY; GENTOO</t>
  </si>
  <si>
    <t>Size and sex of Antarctic krill taken from chinstrap and gentoo penguin diet were compared to those from scientific net surveys in the South Shetland Islands from 1998 to 2006 in order to evaluate penguin diet as a sampling mechanism and to look at trends in krill populations. Both penguin diet and net samples revealed a 4-5 year cycle in krill recruitment with one or two strong cohorts sustaining the population during each cycle. Penguin diet samples contained adult krill of similar lengths to those caught in nets; however, penguins rarely took juvenile krill. Penguin diet samples contained proportionately more females when the krill population was dominated by large adults at the end of the cycles; net samples showed greater proportions of males in these years. These patterns are comparable to those reported elsewhere in the region and are likely driven by the availability of different sizes and sexes of krill in relation to the colony.</t>
  </si>
  <si>
    <t>SW Fisheries Sci Ctr, Antarctic Ecosyst Res Div, La Jolla, CA 92037 USA</t>
  </si>
  <si>
    <t>Miller, AK (corresponding author), SW Fisheries Sci Ctr, Antarctic Ecosyst Res Div, 8604 La Jolla Shores Dr, La Jolla, CA 92037 USA.</t>
  </si>
  <si>
    <t>aileen.miller@noaa.gov</t>
  </si>
  <si>
    <t>10.1007/s00300-007-0326-7</t>
  </si>
  <si>
    <t>WOS:000249920800012</t>
  </si>
  <si>
    <t>Caruso, T; Borghini, F; Bucci, C; Colacevich, A; Bargagli, R</t>
  </si>
  <si>
    <t>Caruso, Tancredi; Borghini, Francesca; Bucci, Charlie; Colacevich, Andrea; Bargagli, Roberto</t>
  </si>
  <si>
    <t>Modelling local-scale determinants and the probability of microarthropod species occurrence in Antarctic soils</t>
  </si>
  <si>
    <t>Antarctic arthropods; soil properties; distribution; biological interactions; models</t>
  </si>
  <si>
    <t>VICTORIA LAND; GOMPHIOCEPHALUS-HODGSONI; TERRESTRIAL ECOSYSTEMS; ROSS ISLAND; COLLEMBOLA; ABUNDANCE; HABITAT; COMMUNITY; PATTERNS; WATER</t>
  </si>
  <si>
    <t>Soil fauna in the extreme conditions of Antarctica consists of a few microinvertebrate species patchily distributed at different spatial scales. Populations of the prostigmatic mite Stereotydeus belli and the collembolan Gressittacantha terranova from northern Victoria Land (Antarctica) were used as models to study the effect of soil properties on microarthropod distributions. In agreement with the general assumption that the development and distribution of life in these ecosystems is mainly controlled by abiotic factors, we found that the probability of occurrence of S. belli depends on soil moisture and texture and on the sampling period (which affects the general availability of water); surprisingly, none of the analysed variables were significantly related to the G. terranova distribution. Based on our results and literature data, we propose a theoretical model that introduces biotic interactions among the major factors driving the local distribution of collembolans in Antarctic terrestrial ecosystems. (c) 2007 Elsevier Ltd. All rights reserved.</t>
  </si>
  <si>
    <t>Univ Siena, Dept Environm Sci G Sarfatti, I-53100 Siena, Italy</t>
  </si>
  <si>
    <t>University of Siena</t>
  </si>
  <si>
    <t>Caruso, T (corresponding author), Univ Siena, Dept Environm Sci G Sarfatti, Via PA Mattioli 4, I-53100 Siena, Italy.</t>
  </si>
  <si>
    <t>tancredicaruso@unisi.it; borghini@unisi.it; bucci2@unisi.it; colacevich@unisi.it; bargagli@unisi.it</t>
  </si>
  <si>
    <t>Caruso, Tancredi/H-1103-2012</t>
  </si>
  <si>
    <t>Caruso, Tancredi/0000-0002-3607-9609</t>
  </si>
  <si>
    <t>10.1016/j.soilbio.2007.06.010</t>
  </si>
  <si>
    <t>211QN</t>
  </si>
  <si>
    <t>WOS:000249538500026</t>
  </si>
  <si>
    <t>Turnbull, TL; Kelly, N; Adams, MA; Warren, CR</t>
  </si>
  <si>
    <t>Turnbull, Tarryn L.; Kelly, Natalie; Adams, Mark A.; Warren, Charles R.</t>
  </si>
  <si>
    <t>Within-canopy nitrogen and photosynthetic gradients are unaffected by soil fertility in rield-grown Eucalyptus globulus</t>
  </si>
  <si>
    <t>TREE PHYSIOLOGY</t>
  </si>
  <si>
    <t>chlorophyll; maximurn photosynthetic rate; phosphorus; photosynthetic biochemistry; relative irradiance; rubisco; stoinatal conductance</t>
  </si>
  <si>
    <t>LEAF GAS-EXCHANGE; USE EFFICIENCY; SPATIAL-DISTRIBUTION; LIGHT-INTERCEPTION; FOLIAR NITROGEN; NATURAL CANOPY; CARBON GAIN; WATER-USE; TREE; ACCLIMATION</t>
  </si>
  <si>
    <t>A significant and well-supported hypothesis is that increased growth following nitrogen (N) fertilization is a function of the relationships among photosynthesis, tissue N content and the light environment-specifically, the within canopy allocation of N among leaves and the within-leaf allocation of N between Rubisco and chlorophyll. We tested this hypothesis in a field trial that included annual applications of N,P,K fertilizer (from planting) to a Eucalyptus globulus Labill. plantation growing on uniform leached sands. Growth of 4-year-old E. globulus increased significantly in response to fertilization. Leaf N and phosphorus concentrations were 0.1-0.5 gm(-2) and 0.4-0.5 gm(-2) higher in fertilized trees compared to unfertilized trees, respectively. Stomatal conductance (g(s)) at the maximum photosynthetic rate (A(max)) was between 0.2 and 0.4 mol m(-2) s(-1) higher in fertilized trees, but A(max) and the concentration of Rubisco (Rub(a)) were unaffected by fertilization. This seeming paradox, where there was no response of A(max) to fertilization despite increases in g(s) and leaf N concentration, was explained by reduced in vivo specific activity of Rubisco in fertilized trees. Acclimation to light, measured by redistribution of N between Rubisco and chlorophyll, was unaffected by fertilization. Distribution of leaf N followed irradiance gradients, but A(max) did not. Maximum photosynthetic rate was correlated with leaf N concentration only in unfertilized trees. These findings indicate that the relationships among photosynthesis, N and the light environment in E. globulus are affected by N,P,K fertilization.</t>
  </si>
  <si>
    <t>Univ Melbourne, Sch Forest &amp; Ecosyst Sci, Creswick, Vic 3363, Australia; Australian Govt Antarctic Div, Kingston, Tas 7050, Australia; Univ Sydney, Sch Biol Sci, Sydney, NSW 2006, Australia</t>
  </si>
  <si>
    <t>University of Melbourne; Australian Antarctic Division; University of Sydney</t>
  </si>
  <si>
    <t>Turnbull, TL (corresponding author), Univ Melbourne, Sch Forest &amp; Ecosyst Sci, Water St, Creswick, Vic 3363, Australia.</t>
  </si>
  <si>
    <t>t.turnbull@unsw.edu.au</t>
  </si>
  <si>
    <t>adams, mark a/H-1303-2012; Warren, Charles R/A-6013-2011; Kelly, Natalie/B-3481-2010; Adams, Mark/H-1303-2012</t>
  </si>
  <si>
    <t>adams, mark a/0000-0002-8154-0097; Warren, Charles R/0000-0002-0788-4713; Adams, Mark/0000-0001-8989-508X; Kelly, Nat/0000-0002-9664-354X</t>
  </si>
  <si>
    <t>0829-318X</t>
  </si>
  <si>
    <t>1758-4469</t>
  </si>
  <si>
    <t>TREE PHYSIOL</t>
  </si>
  <si>
    <t>Tree Physiol.</t>
  </si>
  <si>
    <t>10.1093/treephys/27.11.1607</t>
  </si>
  <si>
    <t>Forestry</t>
  </si>
  <si>
    <t>230AF</t>
  </si>
  <si>
    <t>WOS:000250847000011</t>
  </si>
  <si>
    <t>Gooseff, MN; Barrett, JE; Northcott, ML; Bate, DB; Hill, KR; Zeglin, LH; Bobb, M; Takacs-Vesbach, CD</t>
  </si>
  <si>
    <t>Gooseff, Michael N.; Barrett, John E.; Northcott, Melissa L.; Bate, D. Brad; Hill, Kenneth R.; Zeglin, Lydia H.; Bobb, Michael; Takacs-Vesbach, Cristina D.</t>
  </si>
  <si>
    <t>Controls on the spatial dimensions of wetted hydrologic margins of two antarctic lakes</t>
  </si>
  <si>
    <t>VADOSE ZONE JOURNAL</t>
  </si>
  <si>
    <t>MCMURDO DRY VALLEYS; SOIL-MOISTURE; TAYLOR VALLEY; WATER; ANHYDROBIOSIS; BIODIVERSITY; ENVIRONMENT; CATCHMENTS; LANDSCAPE; DYNAMICS</t>
  </si>
  <si>
    <t>Polar deserts are characterized by limited water availability across much of the terrestrial landscape. In the McMurdo Dry Valleys, Antarctica, soil active layers are wetted only briefly after infrequent snowfall (&lt; 10 cm yr(-1)). Adjacent to glacial meltwater streams and lakes, however, sediments and soils appear visibly wetted throughout the summer. We hypothesized that this apparent wicking of water from aquatic environments is controlled by capillary action determined by the physical properties of near-shore sediments including slope, particle size distribution, and depth to permafrost. We performed synoptic sampling of near-shore sediments around two lakes in Taylor Valley, East Antarctica. We measured the water content, active layer depth, particle size distribution, and topography to determine the relative importance of shore slope, pore size distribution, and depth of the active layer on the spatial dimension of wetted hydrologic margins. The horizontal dimension (distance from the lake edge) of wetted margins (H-W) and slopes ranged from 1.1 to 32.9 m and 1 to 61% and active layer depth ranged from 5.5 to &gt; 120 cm. Our results indicate that particle size distributions of near-shore sediments are homogeneous; slope had a greater effect on the dimensions of wetted margins, explaining 73% of the variance in HW. These findings show that the spatial dimensions of wetted zones are controlled by a suite of physical parameters that may be easily measured using remotely sensed data and a limited number of samples. Such information is useful for constraining landscape-scale models of nutrient redistribution because intermittently wetted soils are zones of enhanced biogeochemical transformation and transport in desert ecosystems.</t>
  </si>
  <si>
    <t>[Gooseff, Michael N.] Penn State Univ, Dept Civil &amp; Environm Engn, University Pk, PA 16802 USA; [Barrett, John E.] Virginia Polytech Inst &amp; State Univ, Dept Biol Sci, Blacksburg, VA 24061 USA; [Northcott, Melissa L.] Colorado Sch Mines, Dept Geol &amp; Geol Engn, Golden, CO 80401 USA; [Bate, D. Brad] Dartmouth Coll, Environm Studies Program, Hanover, NH 03755 USA; [Hill, Kenneth R.] Univ Colorado, Dept Geog, Boulder, CO 80322 USA; [Zeglin, Lydia H.; Bobb, Michael; Takacs-Vesbach, Cristina D.] Univ New Mexico, Dept Biol, Albuquerque, NM 87131 USA</t>
  </si>
  <si>
    <t>Pennsylvania Commonwealth System of Higher Education (PCSHE); Pennsylvania State University; Pennsylvania State University - University Park; Virginia Polytechnic Institute &amp; State University; Colorado School of Mines; Dartmouth College; University of Colorado System; University of Colorado Boulder; University of New Mexico</t>
  </si>
  <si>
    <t>Gooseff, MN (corresponding author), Penn State Univ, Dept Civil &amp; Environm Engn, University Pk, PA 16802 USA.</t>
  </si>
  <si>
    <t>mgooseff@engr.psu.edu</t>
  </si>
  <si>
    <t>Gooseff, Michael/B-9273-2008; Gooseff, Michael N/N-6087-2015; Barrett, John/D-5851-2016</t>
  </si>
  <si>
    <t>Gooseff, Michael N/0000-0003-4322-8315; Barrett, John/0000-0002-7610-0505</t>
  </si>
  <si>
    <t>1539-1663</t>
  </si>
  <si>
    <t>VADOSE ZONE J</t>
  </si>
  <si>
    <t>Vadose Zone J.</t>
  </si>
  <si>
    <t>10.2136/vzj2006.0161</t>
  </si>
  <si>
    <t>Environmental Sciences; Soil Science; Water Resources</t>
  </si>
  <si>
    <t>254OO</t>
  </si>
  <si>
    <t>WOS:000252596100015</t>
  </si>
  <si>
    <t>Zhang, J. W.; Zeng, R. Y.</t>
  </si>
  <si>
    <t>Psychrotrophic amylolytic bacteria from deep sea sediment of Prydz Bay, Antarctic: diversity and characterization of amylases</t>
  </si>
  <si>
    <t>WORLD JOURNAL OF MICROBIOLOGY &amp; BIOTECHNOLOGY</t>
  </si>
  <si>
    <t>alpha-Amylase; deep sea sediment; Prydz Bay; psychrotrophic</t>
  </si>
  <si>
    <t>NUCLEOTIDE-SEQUENCE; PSYCHROPHILIC BACTERIA; MICROBIAL COMMUNITY; MARIANA-TRENCH; ALPHA-AMYLASE; SP-NOV; ENZYMES; BIOTECHNOLOGY; EXTREMOPHILES; COLD</t>
  </si>
  <si>
    <t>Seventeen psychrotrophic bacteria with cold-adaptive amylolytic, lipolytic or proteolytic activity were isolated from deep sea sediment of Prydz Bay, Antarctic. They were affiliated with gamma-Proteobacteria (12 strains) and gram-positive bacteria (5 strains) as determined by 16S rDNA sequencing. The amylase-producing strains belonged to genus Pseudomonas, Rhodococcus, and Nocardiopsis. Two Pseudomonas strains, 7193 and 7197, which showed highest amylolytic activity were chosen for further study. The optimal temperatures for their growth and amylase-producing were between 15 and 20 degrees C. Both of the purified amylases showed highest activity at 40 degrees C and pH 9.0, and retained 50% activity at 5 degrees C. The SDS-PAGE and zymogram activity staining showed that the molecular mass of strain 7193 and 7197 amylases were about 60 and 50 kDa respectively. The Pseudomonas sp. 7193 amylase hydrolyzed soluble starch into glucose, maltose, maltotriose, and maltotetraose, indicating that it had both activities of alpha-amylase and glucoamylase. The product hydrolyzed by Pseudomonas sp. 7197 amylase was meltotetraose.</t>
  </si>
  <si>
    <t>State Ocean Adm, Inst Oceanog 3, Xiamen, Peoples R China; State Ocean Adm, Key Lab Biogenet Resources, Xiamen, Peoples R China</t>
  </si>
  <si>
    <t>Zeng, RY (corresponding author), State Ocean Adm, Inst Oceanog 3, Xiamen, Peoples R China.</t>
  </si>
  <si>
    <t>0959-3993</t>
  </si>
  <si>
    <t>1573-0972</t>
  </si>
  <si>
    <t>WORLD J MICROB BIOT</t>
  </si>
  <si>
    <t>World J. Microbiol. Biotechnol.</t>
  </si>
  <si>
    <t>10.1007/s11274-007-9400-0</t>
  </si>
  <si>
    <t>217AW</t>
  </si>
  <si>
    <t>WOS:000249921800007</t>
  </si>
  <si>
    <t>Dick, D; Philipp, E; Kriews, M; Abele, D</t>
  </si>
  <si>
    <t>Dick, D.; Philipp, E.; Kriews, M.; Abele, D.</t>
  </si>
  <si>
    <t>Is the umbo matrix of bivalve shells (Latelrnula elliptica) a climate archive?</t>
  </si>
  <si>
    <t>trace metals; bivalve shell archives; laser ablation</t>
  </si>
  <si>
    <t>ABLATION ICP-MS; LATERNULA-ELLIPTICA; POLAR; ACCUMULATION; GROWTH; COPPER; CU</t>
  </si>
  <si>
    <t>Heavy metal accumulation into bivalve soft tissues has received increasing interest in recent years with respect to biomonitoring of environmental change including pollution. To a lesser extent, accretion of elements from the environment into bivalve hard structures (shells) has been investigated, although the importance of the shells as environmental archives has been acknowledged. Here we report element distribution within consecutive growth bands in the shells of the Antarctic soft shell clam Laternula elliptica, which is currently exposed to vast environmental change in Antarctic Peninsula coastal environments that undergo rapid climate warming. We performed a high spatial resolution analysis for Al, Fe, Mn, Cu, Pb and U in the shell umbo, by means of laser ablation inductively coupled plasma mass spectrometry (LA-ICP-MS). Element ratios within the umbo did not resemble either the ratios in the surrounding seawater, the sedimenting material in Potter Cove, or even the Earth's crust basal composition. Mn and Cu were preferentially incorporated into the umbo. A strong decrease of element accretion with time could be related to lifetime respiration mass (R) of the animals. This indicates element accretion into the umbo and shell matrix to be largely a function of animal ecophysiology and life history, and these effects need to be considered in the context of potential usefulness of L. elliptica shells as environmental archives. (c) 2007 Elsevier B.V. All fights reserved.</t>
  </si>
  <si>
    <t>Alfred Wegener Inst Polar &amp; Marine Res, D-27570 Bremerhaven, Germany</t>
  </si>
  <si>
    <t>Abele, D (corresponding author), Alfred Wegener Inst Polar &amp; Marine Res, Am Handelshafen 12, D-27570 Bremerhaven, Germany.</t>
  </si>
  <si>
    <t>Doris.Abele@awi.de</t>
  </si>
  <si>
    <t>OCT 30</t>
  </si>
  <si>
    <t>10.1016/j.aquatox.2007.07.005</t>
  </si>
  <si>
    <t>216JR</t>
  </si>
  <si>
    <t>WOS:000249874800006</t>
  </si>
  <si>
    <t>Fischer, H; Fundel, F; Ruth, U; Twarloh, B; Wegner, A; UdiSti, R; Becagli, S; Castellano, E; Morganti, A; Severi, M; Wolff, E; Littot, G; Röthlisberger, R; Mulvaney, R; Hutterli, MA; Kaufmann, P; Federer, U; Lambert, F; Bigler, M; Hansson, M; Jonsell, U; de Angelis, M; Boutron, C; Siggaard-Andersen, ML; Steffensen, JP; Barbante, C; Gaspari, V; Gabnelli, P; Wagenbach, D</t>
  </si>
  <si>
    <t>Fischer, Hubertus; Fundel, Felix; Ruth, Urs; Twarloh, Birthe; Wegner, Anna; UdiSti, Roberto; Becagli, Silvia; Castellano, Emiliano; Morganti, Andrea; Severi, Mirko; Wolff, Eric; Littot, Genevieve; Rothlisberger, Regine; Mulvaney, Rob; Hutterli, Manuel A.; Kaufmann, Patrik; Federer, Urs; Lambert, Fabrice; Bigler, Matthias; Hansson, Margareta; Jonsell, Ulf; de Angelis, Martine; Boutron, Claude; Siggaard-Andersen, Marie-Louise; Steffensen, Jorgen Peder; Barbante, Carlo; Gaspari, Vania; Gabnelli, Paolo; Wagenbach, Dietmar</t>
  </si>
  <si>
    <t>Reconstruction of millennial changes in dust emission, transport and regional sea ice coverage using the deep EPICA ice cores from the Atlantic and Indian Ocean sector of Antarctica (vol 260, pg 340, 2007)</t>
  </si>
  <si>
    <t>[Fischer, Hubertus; Fundel, Felix; Ruth, Urs; Twarloh, Birthe; Wegner, Anna] Alfred Wegener Inst Polar &amp; Marine Res, D-27568 Bremerhaven, Germany; [UdiSti, Roberto; Becagli, Silvia; Castellano, Emiliano; Morganti, Andrea; Severi, Mirko] Univ Florence, Dept Chem, I-50019 Florence, Italy; [Wolff, Eric; Littot, Genevieve; Rothlisberger, Regine; Mulvaney, Rob; Hutterli, Manuel A.] British Antarctic Survey, Cambridge CB3 0ET, England; [Hutterli, Manuel A.; Kaufmann, Patrik; Federer, Urs; Lambert, Fabrice; Bigler, Matthias] Univ Bern, Inst Phys, CH-3012 Bern, Switzerland; [Hansson, Margareta; Jonsell, Ulf] Stockholm Univ, Dept Phys Geog &amp; Quaternary Geol, S-10691 Stockholm, Sweden; [de Angelis, Martine; Boutron, Claude] CNRS UJF, LGGE, F-38402 St Martin Dheres, France; [Siggaard-Andersen, Marie-Louise; Steffensen, Jorgen Peder] Univ Copenhagen, Niels Bohr Inst, DK-2100 Copenhagen, Denmark; [Barbante, Carlo; Gaspari, Vania] Univ Venice, Dept Environm Sci, I-30123 Venice, Italy; [Gabnelli, Paolo] CNR, Inst Dynam Environm Proc, I-30123 Venice, Italy; [Wagenbach, Dietmar] Univ Heidelberg, Inst Environm Sci, D-69120 Heidelberg, Germany</t>
  </si>
  <si>
    <t>Helmholtz Association; Alfred Wegener Institute, Helmholtz Centre for Polar &amp; Marine Research; University of Florence; UK Research &amp; Innovation (UKRI); Natural Environment Research Council (NERC); NERC British Antarctic Survey; University of Bern; Stockholm University; Communaute Universite Grenoble Alpes; Universite Grenoble Alpes (UGA); Centre National de la Recherche Scientifique (CNRS); University of Copenhagen; Niels Bohr Institute; Universita Ca Foscari Venezia; Consiglio Nazionale delle Ricerche (CNR); Istituto per la Dinamica dei Processi Ambientali (IDPA-CNR); Ruprecht Karls University Heidelberg</t>
  </si>
  <si>
    <t>Fischer, H (corresponding author), Alfred Wegener Inst Polar &amp; Marine Res, Columbusstr, D-27568 Bremerhaven, Germany.</t>
  </si>
  <si>
    <t>hubertus.fischer@awi.de</t>
  </si>
  <si>
    <t>Bishnoi, Mamta/AAQ-8346-2021; Udisti, Roberto/M-7966-2015; Becagli, Silvia/GNW-2665-2022; Steffensen, Jorgen Peder/JFS-7831-2023; Barbante, Carlo/B-3195-2011; Wolff, Eric W/D-7925-2014; Bigler, Matthias/HTT-3872-2023; Fundel, Felix/C-5469-2009; Fischer, Hubertus/A-1211-2014; Mulvaney, Robert/K-3929-2012; Severi, Mirko/J-2508-2012</t>
  </si>
  <si>
    <t>Bishnoi, Mamta/0000-0003-4987-0536; Udisti, Roberto/0000-0003-4440-8238; Steffensen, Jorgen Peder/0000-0002-5516-1093; Wolff, Eric W/0000-0002-5914-8531; Bigler, Matthias/0000-0003-0184-4013; Fischer, Hubertus/0000-0002-2787-4221; Barbante, Carlo/0000-0003-4177-2288; Becagli, Silvia/0000-0003-3633-4849; Mulvaney, Robert/0000-0002-5372-8148; Severi, Mirko/0000-0003-1511-6762</t>
  </si>
  <si>
    <t>10.1016/j.epsl.2007.08.016</t>
  </si>
  <si>
    <t>244UL</t>
  </si>
  <si>
    <t>WOS:000251890700024</t>
  </si>
  <si>
    <t>Barker, S; Knorr, G</t>
  </si>
  <si>
    <t>Barker, Stephen; Knorr, Gregor</t>
  </si>
  <si>
    <t>Antarctic climate signature in the Greenland ice core record</t>
  </si>
  <si>
    <t>dansgaard-Oeschger events; rapid climate change; GISP2 dust record</t>
  </si>
  <si>
    <t>ATLANTIC THERMOHALINE CIRCULATION; ATMOSPHERIC CO2; GLACIAL CLIMATE; NORTH-ATLANTIC; PHASE-RELATIONSHIPS; DANSGAARD-OESCHGER; LATE PLEISTOCENE; HEINRICH EVENTS; ARABIAN SEA; OCEAN</t>
  </si>
  <si>
    <t>A numerical algorithm is applied to the Greenland Ice Sheet Project 2 (GISP2) dust record from Greenland to remove the abrupt changes in dust flux associated with the Dansgaard-Oeschger (D-O) oscillations of the last glacial period. The procedure is based on the assumption that the rapid changes in dust are associated with large-scale changes in atmospheric transport and implies that D-O oscillations (in terms of their atmospheric imprint) are more symmetric in form than can be inferred from Greenland temperature records. After removal of the abrupt shifts the residual, dejumped dust record is found to match Antarctic climate variability with a temporal lag of several hundred years. It is argued that such variability may reflect changes in the source region of Greenland dust (thought to be the deserts of eastern Asia). Other records from this region and more globally also reveal Antarctic-style variability and suggest that this signal is globally pervasive. This provides the potential basis for suggesting a more important role for gradual changes in triggering more abrupt transitions in the climate system.</t>
  </si>
  <si>
    <t>Cardiff Univ, Sch Earth Ocean &amp; Planetary Sci, Cardiff CF10 3YE, Wales</t>
  </si>
  <si>
    <t>Barker, S (corresponding author), Cardiff Univ, Sch Earth Ocean &amp; Planetary Sci, Main Bldg,Pk Pl, Cardiff CF10 3YE, Wales.</t>
  </si>
  <si>
    <t>steve@earth.cf.ac.uk</t>
  </si>
  <si>
    <t>Stephen, Barker/C-2770-2009</t>
  </si>
  <si>
    <t>Knorr, Gregor/0000-0002-8317-5046; Barker, Stephen/0000-0001-7870-6431</t>
  </si>
  <si>
    <t>10.1073/pnas.0708494104</t>
  </si>
  <si>
    <t>227DW</t>
  </si>
  <si>
    <t>WOS:000250638400010</t>
  </si>
  <si>
    <t>Lam, MM; Horne, RB; Meredith, NP; Glauert, SA</t>
  </si>
  <si>
    <t>Lam, M. M.; Horne, R. B.; Meredith, N. P.; Glauert, S. A.</t>
  </si>
  <si>
    <t>Modeling the effects of radial diffusion and plasmaspheric hiss on outer radiation belt electrons</t>
  </si>
  <si>
    <t>PITCH-ANGLE DIFFUSION; RELATIVISTIC ELECTRONS; COEFFICIENTS; DENSITY; PLUMES</t>
  </si>
  <si>
    <t>We simulate the behaviour of relativistic ( 976 keV) electrons in the outer radiation belt ( 3 &lt;= L &lt;= 7) during the first half of the CRRES mission. We use a 1d radial diffusion model with losses due to pitch- angle scattering by plasmaspheric hiss expressed through the electron lifetime calculated using the PADIE code driven by a global Kp- dependent model of plasmaspheric hiss intensity and f(pe)/ f(ce). We use a time and energy- dependent outer boundary derived from observations. The model reproduces flux variations to within an order of magnitude for L &lt;= 4 suggesting hiss is the dominant cause of electron losses in the plasmasphere near the equator. At L = 5 the model reproduces significant variations but underestimates the size of the variability. We find that during magnetic storms hiss can cause significant losses for L &lt;= 6 due to its presence in plumes. Wave acceleration is partially represented by the boundary conditions.</t>
  </si>
  <si>
    <t>Lam, MM (corresponding author), British Antarctic Survey, NERC, High Cross,Madingley Rd, Cambridge CB3 0ET, England.</t>
  </si>
  <si>
    <t>m.lam@bas.ac.uk</t>
  </si>
  <si>
    <t>Horne, Richard B/U-3764-2019; Meredith, Nigel P/C-5806-2018</t>
  </si>
  <si>
    <t>Horne, Richard B/0000-0002-0412-6407; Meredith, Nigel/0000-0001-5032-3463</t>
  </si>
  <si>
    <t>OCT 27</t>
  </si>
  <si>
    <t>L20112</t>
  </si>
  <si>
    <t>10.1029/2007GL031598</t>
  </si>
  <si>
    <t>225MD</t>
  </si>
  <si>
    <t>WOS:000250521100003</t>
  </si>
  <si>
    <t>Pichevin, L; Bard, E; Martinez, P; Billy, I</t>
  </si>
  <si>
    <t>Pichevin, Laetitia; Bard, Edouard; Martinez, Philippe; Billy, Isabelle</t>
  </si>
  <si>
    <t>Evidence of ventilation changes in the Arabian Sea during the late Quaternary: Implication for denitrification and nitrous oxide emission</t>
  </si>
  <si>
    <t>TROPICAL NORTH PACIFIC; ATMOSPHERIC N2O; INDIAN-OCEAN; ISOTOPIC COMPOSITION; SINKING PARTICLES; ATLANTIC CLIMATE; OXYGEN-MINIMUM; VARIABILITY; WATER; MONSOON</t>
  </si>
  <si>
    <t>Modern seawater profiles of oxygen, nitrate deficit, and nitrogen isotopes reveal the spatial decoupling of summer monsoon-related productivity and denitrification maxima in the Arabian Sea (AS) and raise the possibility that winter monsoon and/or ventilation play a crucial role in modulating denitrification in the northeastern AS, both today and through the past. A new high-resolution 50-ka record of delta(15) N from the Pakistan margin is compared to five other denitrification records distributed across the AS. This regional comparison unveils the persistence of east-west heterogeneities in denitrification intensity across millennial-scale climate shifts and throughout the Holocene. The oxygen minimum zone (OMZ) experienced east-west swings across Termination I and throughout the Holocene. Probable causes are (1) changes in ventilation due to millennial-scale variations in Antarctic Intermediate Water formation and (2) postglacial reorganization of intermediate circulation in the northeastern AS following sea level rise. Whereas denitrification in the world's OMZs, including the western AS, gradually declined following the deglacial maximum (10-9 ka BP), the northeastern AS record clearly witnesses increasing denitrification from about 8 ka BP. This would have impacted the global Holocene climate through sustained N2O production and marine nitrogen loss.</t>
  </si>
  <si>
    <t>Univ Aix Marseille, CEREGE, Europole Mediterraneen Arbois, F-13545 Aix En Provence, France; Univ Bordeaux 1, CNRS, UMR 5805, F-33405 Talence, France</t>
  </si>
  <si>
    <t>Aix-Marseille Universite; Centre National de la Recherche Scientifique (CNRS); CNRS - National Institute for Earth Sciences &amp; Astronomy (INSU); Universite de Bordeaux</t>
  </si>
  <si>
    <t>Pichevin, L (corresponding author), Univ Aix Marseille, CEREGE, Europole Mediterraneen Arbois, BP 80, F-13545 Aix En Provence, France.</t>
  </si>
  <si>
    <t>laetitia.pichevin@ed.ac.uk</t>
  </si>
  <si>
    <t>Bard, Edouard/G-7717-2014</t>
  </si>
  <si>
    <t>Martinez, Philippe/0000-0002-9825-2032; Pichevin, Laetitia/0000-0003-2685-6926</t>
  </si>
  <si>
    <t>GB4008</t>
  </si>
  <si>
    <t>10.1029/2006GB002852</t>
  </si>
  <si>
    <t>225MF</t>
  </si>
  <si>
    <t>WOS:000250521300001</t>
  </si>
  <si>
    <t>Kurahashi-Nakamura, T; Abe-Ouchi, A; Yamanaka, Y; Misumi, K</t>
  </si>
  <si>
    <t>Kurahashi-Nakamura, T.; Abe-Ouchi, A.; Yamanaka, Y.; Misumi, K.</t>
  </si>
  <si>
    <t>Compound effects of Antarctic sea ice on atmospheric pCO2 change during glacial-interglacial cycle</t>
  </si>
  <si>
    <t>SOUTHERN-OCEAN; CARBON-CYCLE; MAXIMUM; CO2; FLUXES; MODELS</t>
  </si>
  <si>
    <t>The cause of low atmospheric CO2 concentrations during the Last Glacial Maximum (LGM) is important for understanding the role of the carbon cycle in climatic variation. We used an ocean general circulation model, coupled with a biogeochemical model, to examine the effect of sea-ice expansion in the Southern Ocean on atmospheric CO2 concentration. We newly considered a possible additional effect of sea-ice expansion in reducing biological activity as well as the effect of reduced gas-exchange. We propose that the new effect might have had an opposite operation and canceled the gas-exchange effect. Although there are some uncertainties arising from the absence of explicit sea-ice model in this study, these results suggest that sea-ice expansion might be far from the principal mechanism for low CO2 concentration during the LGM.</t>
  </si>
  <si>
    <t>JAMSTEC, Frontier Res Ctr Global Change, Yokohama, Kanagawa 236, Japan; Univ Tokyo, Ctr Climate Syst Res, Kashiwa, Chiba, Japan; Hokkaido Univ, Grad Sch Environm Earth Sci, Sapporo, Hokkaido 060, Japan</t>
  </si>
  <si>
    <t>Japan Agency for Marine-Earth Science &amp; Technology (JAMSTEC); University of Tokyo; Hokkaido University</t>
  </si>
  <si>
    <t>Kurahashi-Nakamura, T (corresponding author), JAMSTEC, Frontier Res Ctr Global Change, Yokohama, Kanagawa 236, Japan.</t>
  </si>
  <si>
    <t>kijun@jamstec.go.jp</t>
  </si>
  <si>
    <t>Abe-Ouchi, Ayako A/M-6359-2013; Yamanaka, Yasuhiro/H-7393-2012</t>
  </si>
  <si>
    <t>Abe-Ouchi, Ayako A/0000-0003-1745-5952; Yamanaka, Yasuhiro/0000-0003-3369-3248</t>
  </si>
  <si>
    <t>OCT 26</t>
  </si>
  <si>
    <t>L20708</t>
  </si>
  <si>
    <t>10.1029/2007GL030898</t>
  </si>
  <si>
    <t>225MC</t>
  </si>
  <si>
    <t>WOS:000250521000001</t>
  </si>
  <si>
    <t>Baker, DN; Kanekal, SG; Horne, RB; Meredith, NP; Glauert, SA</t>
  </si>
  <si>
    <t>Baker, D. N.; Kanekal, S. G.; Horne, R. B.; Meredith, N. P.; Glauert, S. A.</t>
  </si>
  <si>
    <t>Low-altitude measurements of 2-6 MeV electron trapping lifetimes at 1.5 ≤ L ≤ 2.5</t>
  </si>
  <si>
    <t>BELT; MAGNETOSPHERE; ACCELERATION; SCATTERING; WAVES; STORM; SOLAR; TIME</t>
  </si>
  <si>
    <t>During the Halloween Storm period ( October November 2003), a new Van Allen belt electron population was powerfully accelerated. The inner belt of electrons formed in this process decayed over a period of days to years. We have examined quantitatively the decay rates for electrons seen in the region of 1.5 &lt;= L &lt;= 2.5 using SAMPEX satellite observations. At L = 1.5 the e- folding lifetime for 2 - 6 MeV electrons was tau similar to 180 days. On the other hand, for the half- dozen distinct acceleration ( or enhancement) events seen during late- 2003 through 2005 at L similar to 2.0, the lifetimes ranged from tau similar to 8 days to tau similar to 35 days. We compare these loss rates to those expected from prior studies. We find that lifetimes at L = 2.0 are much shorter than the average 100 - 200 days that present theoretical estimates would suggest for the overall L = 2 electron population. Additional wave- particle interaction aspects must be included in theoretical treatments and we describe such possibilities here.</t>
  </si>
  <si>
    <t>Univ Colorado, Atmospher &amp; Space Phys Lab, Boulder, CO 80303 USA; British Antarctic Survey, Cambridge CB3 0ET, England</t>
  </si>
  <si>
    <t>University of Colorado System; University of Colorado Boulder; UK Research &amp; Innovation (UKRI); Natural Environment Research Council (NERC); NERC British Antarctic Survey</t>
  </si>
  <si>
    <t>Baker, DN (corresponding author), Univ Colorado, Atmospher &amp; Space Phys Lab, 1234 Innovat Dr, Boulder, CO 80303 USA.</t>
  </si>
  <si>
    <t>daniel.baker@lasp.colorado.edu</t>
  </si>
  <si>
    <t>OCT 25</t>
  </si>
  <si>
    <t>L20110</t>
  </si>
  <si>
    <t>10.1029/2007GL031007</t>
  </si>
  <si>
    <t>225MB</t>
  </si>
  <si>
    <t>WOS:000250520900004</t>
  </si>
  <si>
    <t>Edwards, AM; Phillips, RA; Watkins, NW; Freeman, MP; Murphy, EJ; Afanasyev, V; Buldyrev, SV; da Luz, MGE; Raposo, EP; Stanley, HE; Viswanathan, GM</t>
  </si>
  <si>
    <t>Edwards, Andrew M.; Phillips, Richard A.; Watkins, Nicholas W.; Freeman, Mervyn P.; Murphy, Eugene J.; Afanasyev, Vsevolod; Buldyrev, Sergey V.; da Luz, M. G. E.; Raposo, E. P.; Stanley, H. Eugene; Viswanathan, Gandhimohan M.</t>
  </si>
  <si>
    <t>Revisiting Levy flight search patterns of wandering albatrosses, bumblebees and deer</t>
  </si>
  <si>
    <t>NATURE</t>
  </si>
  <si>
    <t>ANOMALOUS DIFFUSION; MOVEMENT; BEHAVIOR; SUCCESS; WALKS</t>
  </si>
  <si>
    <t>The study of animal foraging behaviour is of practical ecological importance(1), and exemplifies the wider scientific problem of optimizing search strategies(2). Levy flights are random walks, the step lengths of which come from probability distributions with heavy power-law tails(3,4), such that clusters of short steps are connected by rare long steps. Levy flights display fractal properties, have no typical scale, and occur in physical(3-5) and chemical(6) systems. An attempt to demonstrate their existence in a natural biological system presented evidence that wandering albatrosses perform Levy flights when searching for prey on the ocean surface(7). This well known finding(2,4,8,9) was followed by similar inferences about the search strategies of deer(10) and bumblebees(10). These pioneering studies have triggered much theoretical work in physics (for example, refs 11, 12), as well as empirical ecological analyses regarding reindeer(13), microzooplankton(14), grey seals(15), spider monkeys(16) and fishing boats(17). Here we analyse a new, high-resolution data set of wandering albatross flights, and find no evidence for Levy flight behaviour. Instead we find that flight times are gamma distributed, with an exponential decay for the longest flights. We re-analyse the original albatross data(7) using additional information, and conclude that the extremely long flights, essential for demonstrating Levy flight behaviour, were spurious. Furthermore, we propose a widely applicable method to test for power-law distributions using likelihood(18) and Akaike weights(19,20). We apply this to the four original deer and bumblebee data sets(10), finding that none exhibits evidence of Levy flights, and that the original graphical approach(10) is insufficient. Such a graphical approach has been adopted to conclude Levy flight movement for other organisms(13-17), and to propose Levy flight analysis as a potential real-time ecosystem monitoring tool(17). Our results question the strength of the empirical evidence for biological Levy flights.</t>
  </si>
  <si>
    <t>British Antarctic Survey, Cambridge CB3 0ET, England; Boston Univ, Dept Phys, Boston, MA 02215 USA; Yeshiva Univ, Dept Phys, New York, NY 10033 USA; Univ Fed Parana, Dept Fis, BR-81531990 Curitiba, Parana, Brazil; Univ Fed Pernambuco, Dept Fis, Lab Fis Teor &amp; Computac, BR-50670901 Recife, PE, Brazil; Univ Fed Alagoas, Inst Fis, BR-57072970 Maceio, AL, Brazil</t>
  </si>
  <si>
    <t>UK Research &amp; Innovation (UKRI); Natural Environment Research Council (NERC); NERC British Antarctic Survey; Boston University; Yeshiva University; Universidade Federal do Parana; Universidade Federal de Pernambuco; Universidade Federal de Alagoas</t>
  </si>
  <si>
    <t>Edwards, AM (corresponding author), British Antarctic Survey, High Cross, Cambridge CB3 0ET, England.</t>
  </si>
  <si>
    <t>EdwardsAnd@pac.dfo-mpo.gc.ca</t>
  </si>
  <si>
    <t>Raposo, Ernesto P/N-2786-2017; Viswanathan, Gandhimohan/AAF-3937-2020; Watkins, Nicholas Wynn/C-5140-2008; edwards, andrew m/E-6900-2010; Watkins, Nick/GPX-7439-2022; murphy, eugene/GZL-1620-2022; Buldyrev, Sergey V/I-3933-2015; Viswanathan, Gandhimohan M/J-8558-2012; Raposo, Ernesto P./ABA-7215-2020; gomes eleuterio da luz, marcos/H-7835-2012; Freeman, Mervyn/E-5687-2019</t>
  </si>
  <si>
    <t>Raposo, Ernesto P/0000-0002-3595-4352; Watkins, Nicholas Wynn/0000-0003-4484-6588; Watkins, Nick/0000-0003-4484-6588; Raposo, Ernesto P./0000-0002-4178-8266; gomes eleuterio da luz, marcos/0000-0003-3865-2621; Stanley, H./0000-0003-2800-4495; Freeman, Mervyn/0000-0002-8653-8279; Viswanathan, Gandhimohan/0000-0002-2301-5593; Buldyrev, Sergey/0000-0002-3008-1070</t>
  </si>
  <si>
    <t>NERC [bas010021] Funding Source: UKRI; Natural Environment Research Council [bas010021] Funding Source: researchfish</t>
  </si>
  <si>
    <t>NATURE PORTFOLIO</t>
  </si>
  <si>
    <t>HEIDELBERGER PLATZ 3, BERLIN, 14197, GERMANY</t>
  </si>
  <si>
    <t>0028-0836</t>
  </si>
  <si>
    <t>1476-4687</t>
  </si>
  <si>
    <t>Nature</t>
  </si>
  <si>
    <t>U5</t>
  </si>
  <si>
    <t>10.1038/nature06199</t>
  </si>
  <si>
    <t>223TK</t>
  </si>
  <si>
    <t>WOS:000250395000051</t>
  </si>
  <si>
    <t>Damski, J; Thlix, L; Backman, L; Taalas, P; Kulmala, M</t>
  </si>
  <si>
    <t>Damski, Juhani; Thlix, Laura; Backman, Leif; Taalas, Petteri; Kulmala, Markku</t>
  </si>
  <si>
    <t>FinROSE - middle atmospheric chemistry transport model</t>
  </si>
  <si>
    <t>BOREAL ENVIRONMENT RESEARCH</t>
  </si>
  <si>
    <t>STRATOSPHERIC OZONE; 3-DIMENSIONAL MODEL; DEPLETION; CLOUD; SIMULATIONS; TRENDS</t>
  </si>
  <si>
    <t>In this paper we describe the development and performance of a three-dimensional global middle atmospheric chemistry transport model FinROSE. The FinROSE chemistry transport model includes a numerical scheme for stratospheric chemistry with parameterizations for heterogeneous processing on polar stratospheric clouds (PSC) and on liquid binary aerosols together with a parameterisation of large nitric acid trihydrate particles (i.e. NAT-rocks) and PSC sedimentation. The total number of trace species in the model is 34 and the total number of gas-phase reactions, photodissociation processes and heterogeneous reactions is about 150. The model is forced by external wind and temperature fields. The simulations are normally performed in a 5 degrees x 10 degrees (lat. x long.) grid from the surface up to around 0.1 hPa, with a vertical resolution of ca. 1.5 km in the stratosphere. Long-term simulations (40 to 50 years) have been done using winds and temperatures from ECMWF ERA40 analyses. The performance of the model in describing the stratospheric composition and chemistry is shown and evaluated in this paper. In general, the FinROSE results show a good comparison with measured total ozone. Also the timing, the depth and the deepening of the Antarctic ozone hole, and the responsible processes are captured well in the model simulations.</t>
  </si>
  <si>
    <t>Finnish Meteorol Inst, FI-00101 Helsinki, Finland; World Meteorol Org, Reg &amp; Tech Cooperat Dev Dept, CH-1211 Geneva 2, Switzerland; Univ Helsinki, Div Atmospher Sci, FI-00014 Helsinki, Finland</t>
  </si>
  <si>
    <t>Finnish Meteorological Institute; University of Helsinki</t>
  </si>
  <si>
    <t>Backman, L (corresponding author), Finnish Meteorol Inst, POB 503, FI-00101 Helsinki, Finland.</t>
  </si>
  <si>
    <t>Backman, Leif/F-6796-2014; Thölix, Laura/F-3076-2015; Kulmala, Markku/I-7671-2016</t>
  </si>
  <si>
    <t>Backman, Leif/0000-0002-1501-2958; Kulmala, Markku/0000-0003-3464-7825</t>
  </si>
  <si>
    <t>FINNISH ENVIRONMENT INST</t>
  </si>
  <si>
    <t>HELSINKI</t>
  </si>
  <si>
    <t>P O BOX 140, FIN-00251 HELSINKI, FINLAND</t>
  </si>
  <si>
    <t>1239-6095</t>
  </si>
  <si>
    <t>1797-2469</t>
  </si>
  <si>
    <t>BOREAL ENVIRON RES</t>
  </si>
  <si>
    <t>Boreal Environ. Res.</t>
  </si>
  <si>
    <t>OCT 24</t>
  </si>
  <si>
    <t>227MI</t>
  </si>
  <si>
    <t>WOS:000250660400001</t>
  </si>
  <si>
    <t>Cronin, TM; Vogt, PR; Willard, DA; Thunell, R; Halka, J; Berke, M; Pohlman, J</t>
  </si>
  <si>
    <t>Cronin, T. M.; Vogt, P. R.; Willard, D. A.; Thunell, R.; Halka, J.; Berke, M.; Pohlman, J.</t>
  </si>
  <si>
    <t>Rapid sea level rise and ice sheet response to 8,200-year climate event</t>
  </si>
  <si>
    <t>COLD EVENT; GREENLAND; VARIABILITY; RECORD; COAST</t>
  </si>
  <si>
    <t>The largest abrupt climatic reversal of the Holocene interglacial, the cooling event 8.6 - 8.2 thousand years ago (ka), was probably caused by catastrophic release of glacial Lake Agassiz-Ojibway, which slowed Atlantic meridional overturning circulation (AMOC) and cooled global climate. Geophysical surveys and sediment cores from Chesapeake Bay reveal the pattern of sea level rise during this event. Sea level rose similar to 14 m between 9.5 to 7.5 ka, a pattern consistent with coral records and the ICE- 5G glacio-isostatic adjustment model. There were two distinct periods at similar to 8.9 - 8.8 and similar to 8.2 - 7.6 ka when Chesapeake marshes were drown as sea level rose rapidly at least similar to 12 mm yr(-1). The latter event occurred after the 8.6 - 8.2 ka cooling event, coincided with extreme warming and vigorous AMOC centered on 7.9 ka, and may have been due to Antarctic Ice Sheet decay.</t>
  </si>
  <si>
    <t>US Geol Survey, Reston, VA 20192 USA; Maryland Geol Surg, Baltimore, MD 21218 USA; US Geol Survey, Woods Hole, MA 02543 USA; Univ S Carolina, Dept Geol Sci, Columbia, SC 29208 USA; USN, Res Lab, Washington, DC 20375 USA</t>
  </si>
  <si>
    <t>United States Department of the Interior; United States Geological Survey; United States Department of the Interior; United States Geological Survey; University of South Carolina System; University of South Carolina Columbia; United States Department of Defense; United States Navy; Naval Research Laboratory</t>
  </si>
  <si>
    <t>Cronin, TM (corresponding author), US Geol Survey, 926A Natl Ctr USGS,1220 Sunrise Valley Dr, Reston, VA 20192 USA.</t>
  </si>
  <si>
    <t>tcronin@usgs.gov</t>
  </si>
  <si>
    <t>Thompson, Renee L/A-9675-2012; Berke, Melissa A/H-3819-2016</t>
  </si>
  <si>
    <t>Willard, Debra/0000-0003-4878-0942; Berke, Melissa/0000-0003-4810-3773</t>
  </si>
  <si>
    <t>L20603</t>
  </si>
  <si>
    <t>10.1029/2007GL031318</t>
  </si>
  <si>
    <t>225MA</t>
  </si>
  <si>
    <t>WOS:000250520800004</t>
  </si>
  <si>
    <t>Makshtas, A; Atkinson, D; Kulakov, M; Shutilin, S; Krishfield, R; Proshutinsky, A</t>
  </si>
  <si>
    <t>Makshtas, A.; Atkinson, D.; Kulakov, M.; Shutilin, S.; Krishfield, R.; Proshutinsky, A.</t>
  </si>
  <si>
    <t>Atmospheric forcing validation for modeling the central Arctic</t>
  </si>
  <si>
    <t>CLOUD; SEA; REANALYSIS; SATELLITE; OCEAN; ICE</t>
  </si>
  <si>
    <t>We compare daily data from the National Center for Atmospheric Research and National Centers for Environmental Prediction  Reanalysis 1'' project with observational data obtained from the North Pole drifting stations in order to validate the atmospheric forcing data used in coupled ice- ocean models. This analysis is conducted to assess the role of errors associated with model forcing before performing model verifications against observed ocean variables. Our analysis shows an excellent agreement between observed and reanalysis sea level pressures and a relatively good correlation between observed and reanalysis surface winds. The observed temperature is in good agreement with reanalysis data only in winter. Specific air humidity and cloudiness are not reproduced well by reanalysis and are not recommended for model forcing. An example sensitivity study demonstrates that the equilibrium ice thickness obtained using NP forcing is two times thicker than using reanalysis forcing.</t>
  </si>
  <si>
    <t>Arctic &amp; Antarctic Res Inst, St Petersburg 198095, Russia; Univ Alaska, Int Arctic Res Ctr, Fairbanks, AK 99775 USA; Woods Hole Oceanog Inst, Woods Hole, MA 02543 USA</t>
  </si>
  <si>
    <t>Arctic &amp; Antarctic Research Institute; University of Alaska System; University of Alaska Fairbanks; Woods Hole Oceanographic Institution</t>
  </si>
  <si>
    <t>Proshutinsky, A (corresponding author), Arctic &amp; Antarctic Res Inst, 38 Bering St, St Petersburg 198095, Russia.</t>
  </si>
  <si>
    <t>aproshutinsky@whoi.edu</t>
  </si>
  <si>
    <t>Kulakov, Mikhail/AAX-4924-2020</t>
  </si>
  <si>
    <t>Proshutinsky, Andrey/0000-0003-3087-1934</t>
  </si>
  <si>
    <t>L20706</t>
  </si>
  <si>
    <t>10.1029/2007GL031378</t>
  </si>
  <si>
    <t>WOS:000250520800006</t>
  </si>
  <si>
    <t>da Cunha, LC; Buitenhuis, ET; Le Quere, C; Giraud, X; Ludwig, W</t>
  </si>
  <si>
    <t>da Cunha, Leticia Cotrim; Buitenhuis, Erik T.; Le Quere, Corinne; Giraud, Xavier; Ludwig, Wolfgang</t>
  </si>
  <si>
    <t>Potential impact of changes in river nutrient supply on global ocean biogeochemistry</t>
  </si>
  <si>
    <t>ATMOSPHERIC CO2; SURFACE WATERS; ORGANIC-CARBON; ATLANTIC-OCEAN; BALANCE; MODEL; NITROGEN; CYCLE; IRON; SEA</t>
  </si>
  <si>
    <t>The growing world population increases the demand for water, energy, and land. This demand for natural resources impacts the transport of material and the supply of nutrients in the coastal ocean by rivers. We assess the potential impact of river N, Si, Fe, and organic carbon (OC) fluxes on the global and coastal ocean biogeochemistry, using an ocean biogeochemistry model and observations, in eight different scenarios. We assess two extreme scenarios, one with no river nutrients, corresponding to a complete stop of nutrient input by rivers, and one with high nutrient fluxes, corresponding to a world population of 12 billion people. Compared to today's scenario values, primary production (PP) changes from - 5% to + 5% for the open ocean, and from - 16% to + 5% for the coastal ocean. In the coastal ocean the impact of river nutrients on PP depends on regional nutrient limitation. River inputs have a larger impact on PP in areas where upwelling and high runoff are combined. The coastal ocean is typically N- or Si- limited. River Fe not assimilated by the phytoplankton is exported to open ocean areas, and its fertilizing effect depletes coastal and open ocean surface waters from N and Si. The impact on PP is reflected on global ocean low- O-2 areas whose extent changes from - 16% to + 23% across the range of scenarios. River nutrients have a modest impact on the global ocean CO2 sink of up to 0.4 Pg C a(-1), depending on the amount of inorganic and organic carbon transported by the rivers.</t>
  </si>
  <si>
    <t>Max Planck Inst Biogeochem, Jena, Germany; British Antarctic Survey, Cambridge CB3 0ET, England; Univ Perpignan, CEFREM UMR CNRS 5110, F-66860 Perpignan, France</t>
  </si>
  <si>
    <t>Max Planck Society; UK Research &amp; Innovation (UKRI); Natural Environment Research Council (NERC); NERC British Antarctic Survey; Centre National de la Recherche Scientifique (CNRS); Universite Perpignan Via Domitia</t>
  </si>
  <si>
    <t>da Cunha, LC (corresponding author), Leibniz Inst Meereswissensch, Dusternbrooker Weg 20, D-24105 Kiel, Germany.</t>
  </si>
  <si>
    <t>Le Quéré, Corinne/C-2631-2017; Ludwig, Wolfgang/GXA-3759-2022; Cotrim da Cunha, Leticia/F-5732-2010; da Cunha, Leticia Cotrim/J-5153-2012; Buitenhuis, Erik/A-7692-2012</t>
  </si>
  <si>
    <t>Le Quéré, Corinne/0000-0003-2319-0452; Cotrim da Cunha, Leticia/0000-0001-8035-1430; Ludwig, Wolfgang/0000-0002-3154-9114; GIRAUD, Xavier/0000-0001-5067-8176; Buitenhuis, Erik/0000-0001-6274-5583</t>
  </si>
  <si>
    <t>NERC [bas010013] Funding Source: UKRI; Natural Environment Research Council [NE/C516079/1, bas010013] Funding Source: researchfish</t>
  </si>
  <si>
    <t>GB4007</t>
  </si>
  <si>
    <t>10.1029/2006GB002718</t>
  </si>
  <si>
    <t>225ME</t>
  </si>
  <si>
    <t>WOS:000250521200001</t>
  </si>
  <si>
    <t>Reich, CM; Arnould, JPY</t>
  </si>
  <si>
    <t>Reich, Coralie M.; Arnould, John P. Y.</t>
  </si>
  <si>
    <t>Evolution of Pinnipedia lactation strategies:: a potential role for α-lactalbumin?</t>
  </si>
  <si>
    <t>BIOLOGY LETTERS</t>
  </si>
  <si>
    <t>alpha-lactalbumin; lactose; lactation; pinnipeds</t>
  </si>
  <si>
    <t>ANTARCTIC FUR SEALS; MAMMARY-GLAND; CELL DEATH; HUMAN-MILK; PROTEIN; LACTOSE</t>
  </si>
  <si>
    <t>Despite the considerable variation in milk composition found among mammals, a constituent common across all groups is lactose, the main sugar and osmole in most eutherians milk. Exceptions to this are the families Otariidae ( fur seals and sea lions) and Odobenidae ( walruses), where lactose has not been detected. We investigated the molecular basis for this by cloning alpha-lactalbumin, the modifier protein of the lactose synthase complex. A mutation was observed which, in addition to preventing lactose production, may enable otariids to maintain lactation despite the extremely long inter-suckling intervals during the mother's time at sea foraging ( more than 23 days in some species).</t>
  </si>
  <si>
    <t>Univ Melbourne, Dept Zool, CRC Innovat Dairy Prod, Melbourne, Vic 3010, Australia; Deakin Univ, Sch Life &amp; Environm Sci, Burwood, Vic 3125, Australia</t>
  </si>
  <si>
    <t>University of Melbourne; Melbourne Bioinformatics; Deakin University</t>
  </si>
  <si>
    <t>Reich, CM (corresponding author), Univ Melbourne, Dept Zool, CRC Innovat Dairy Prod, Melbourne, Vic 3010, Australia.</t>
  </si>
  <si>
    <t>creich@unimelb.edu.au</t>
  </si>
  <si>
    <t>1744-9561</t>
  </si>
  <si>
    <t>BIOLOGY LETT</t>
  </si>
  <si>
    <t>Biol. Lett.</t>
  </si>
  <si>
    <t>OCT 22</t>
  </si>
  <si>
    <t>10.1098/rsbl.2007.0265</t>
  </si>
  <si>
    <t>209XR</t>
  </si>
  <si>
    <t>WOS:000249421800027</t>
  </si>
  <si>
    <t>Du, N; Fan, JT; Wu, HJ; Chen, S; Liu, Y</t>
  </si>
  <si>
    <t>Du, Ning; Fan, Jintu; Wu, Huijun; Chen, Shuo; Liu, Yang</t>
  </si>
  <si>
    <t>An improved model of heat transfer through penguin feathers and down</t>
  </si>
  <si>
    <t>JOURNAL OF THEORETICAL BIOLOGY</t>
  </si>
  <si>
    <t>heat transfer; penguin feather; finite volume; Monte-Carlo</t>
  </si>
  <si>
    <t>FIBROUS INSULATION; MOISTURE TRANSFER; PHASE-CHANGE; SIMULATION</t>
  </si>
  <si>
    <t>Penguins, mostly live in the extremely cold Antarctic, are known to have feathers and down, which are light weight, compact and extremely efficient in preventing heat loss. Nevertheless, the mechanisms of heat transfer through the penguin feathers and down, and how the unique characteristics of penguin feathers and down make them such good thermal insulators are not fully understood. In this paper, an integrated model of heat transfer through the penguin feathers and down is developed and computed using finite volume method, with the geometrical structure of the barbules being considered. Monte-Carlo method is adopted to determine the radiative absorption and emission constant in the integrated model. The effective thermal conductance of penguin feathers and down computed from our model compared well with the experimentally measured value reported in the literature. Three models (penguin model, random fibre model (fibre radius = 3 mu m) and random fibre model (fibre radius = 10 mu m)) are further simulated and compared. Results showed that the relative small radius of the barbules of penguin feather and their geometrical structure are responsible for the reduction of heat loss in cold environment. (C) 2007 Elsevier Ltd. All rights reserved.</t>
  </si>
  <si>
    <t>Hong Kong Polytech Univ, Inst Text &amp; Clothing, Kowloon, Hong Kong, Peoples R China; Hong Kong Polytech Univ, Dept Mech Engn, Kowloon, Hong Kong, Peoples R China; Shandong Univ, Sch Math &amp; Syst Sci, Jinan 250100, Peoples R China</t>
  </si>
  <si>
    <t>Hong Kong Polytechnic University; Hong Kong Polytechnic University; Shandong University</t>
  </si>
  <si>
    <t>Fan, JT (corresponding author), Hong Kong Polytech Univ, Inst Text &amp; Clothing, Kowloon, Hong Kong, Peoples R China.</t>
  </si>
  <si>
    <t>tcningdu@inet.polyu.edu.hk; tcfanjt@inet.polyu.edu.hk; tchjwu@inet.polyu.edu.hk; chenshuo@sjtu.edu.cn; mmyliu@inet.polyu.edu.hk</t>
  </si>
  <si>
    <t>Wu, Huijun/E-9755-2012</t>
  </si>
  <si>
    <t>Fan, Jintu/0000-0002-7130-0081; Liu, Yang/0000-0002-2883-8329</t>
  </si>
  <si>
    <t>0022-5193</t>
  </si>
  <si>
    <t>1095-8541</t>
  </si>
  <si>
    <t>J THEOR BIOL</t>
  </si>
  <si>
    <t>J. Theor. Biol.</t>
  </si>
  <si>
    <t>OCT 21</t>
  </si>
  <si>
    <t>10.1016/j.jtbi.2007.06.020</t>
  </si>
  <si>
    <t>Biology; Mathematical &amp; Computational Biology</t>
  </si>
  <si>
    <t>Life Sciences &amp; Biomedicine - Other Topics; Mathematical &amp; Computational Biology</t>
  </si>
  <si>
    <t>222MW</t>
  </si>
  <si>
    <t>WOS:000250302600013</t>
  </si>
  <si>
    <t>Smale, DA; Barnes, DKA; Fraser, KPP; Mann, PJ; Brown, MP</t>
  </si>
  <si>
    <t>Smale, Dan A.; Barnes, David K. A.; Fraser, Keiron P. P.; Mann, Paul J.; Brown, Matt P.</t>
  </si>
  <si>
    <t>Scavenging in Antarctica: Intense variation between sites and seasons in shallow benthic necrophagy</t>
  </si>
  <si>
    <t>baited camera; consumption rates; necrophagy; scavengers; Southern Ocean</t>
  </si>
  <si>
    <t>STAR ODONTASTER-VALIDUS; LYSIANASSID AMPHIPODS; CONSUMPTION RATES; MCMURDO SOUND; SIGNY ISLAND; DEEP-SEA; COMMUNITY; ENERGETICS; DIVERSITY; RESPONSES</t>
  </si>
  <si>
    <t>The response of scavengers to a feeding cue at Adelaide Island, West Antarctic Peninsula was investigated using a baited video camera system. Fourteen experimental deployments, each lasting 72 h were conducted at two contrasting sites during the winter and summer of 2005. The rate of bait consumption varied between sites but not between seasons, and was low in comparison with studies at lower latitudes and greater depths. At the Hangar Cove site, the nemertean Parborlasia corrugatus was out-competed at the bait and displaced by the lysianassid amphipod Cheirmedon femoratus during winter. However, C. femoratus did not feed on the bait during summer, allowing R corrugatus to monopolise the feeding opportunity. At the South Cove site the asteroid Odontaster validus dominated the bait in both seasons but sporadic feeding by the nototheniid fish Notothenia coriiceps considerably affected consumption rates during two of the six deployments. Scavengers were attracted to the bait in very high numbers and opportunistic necrophagy seems to be a successful strategy in an environment that is intensely disturbed by ice. (C) 2007 Elsevier B.V. All rights reserved.</t>
  </si>
  <si>
    <t>Smale, Daniel/Y-2909-2019; Smale, Dan A/B-3240-2011; Mann, Paul/H-7268-2014</t>
  </si>
  <si>
    <t>Smale, Daniel/0000-0003-4157-541X; Fraser, Keiron/0000-0001-5491-8376; Mann, Paul/0000-0002-6221-3533</t>
  </si>
  <si>
    <t>OCT 19</t>
  </si>
  <si>
    <t>10.1016/j.jembe.2007.06.002</t>
  </si>
  <si>
    <t>208VD</t>
  </si>
  <si>
    <t>WOS:000249346400019</t>
  </si>
  <si>
    <t>Payne, AJ; Holland, PR; Shepherd, AP; Rutt, IC; Jenkins, A; Joughin, I</t>
  </si>
  <si>
    <t>Payne, Antony J.; Holland, Paul R.; Shepherd, Andrew P.; Rutt, Ian C.; Jenkins, Adrian; Joughin, Ian</t>
  </si>
  <si>
    <t>Numerical modeling of ocean-ice interactions under Pine Island Bay's ice shelf</t>
  </si>
  <si>
    <t>CIRCULATION BENEATH; WEST ANTARCTICA; GLACIER; WATER; SEA; TEMPERATURE; DYNAMICS; SHEET</t>
  </si>
  <si>
    <t>A two-dimensional numerical model is used to simulate the dynamics of buoyant, meltwater-rich plumes flowing beneath the ice shelf occupying much of Pine Island Bay, West Antarctica. Recent studies have shown that this ice shelf, along with all others fringing the Amundsen Sea, is thinning rapidly. In the model, both the Coriolis effect and subshelf topography are important in controlling plume dynamics and the spatial distribution of ice melt. Melt is concentrated in a narrow zone within -20 km of the grounding line where steep subshelf slopes and access to warm ambient water allow melt rates to exceed 100 m yr(-1). The plume generated by entrainment of ambient water into the meltwater in these areas is guided by the topography of the ice shelf underside and exits the ice shelf at three distinct outflow locations. Melt rates generated along the course of the plume are higher ( approximately 2.5x) than rates elsewhere. The model suggests that the observed ice shelf thinning rates could have resulted from a hypothetical instantaneous 0.25 degrees C warming of the ambient water entrained by the plume. A context for this value is provided by the 40-year warming trend documented by Jacobs et al. ( 2002) for Circumpolar Deep Water in the nearby Ross Sea.</t>
  </si>
  <si>
    <t>Univ Bristol, Ctr Polar Observat &amp; Modelling, Bristol BS8 1TH, Avon, England; British Antarctic Survey, Cambridge CB3 0ET, England; Univ Cambridge, Ctr Polar Observat &amp; Modelling, Cambridge CB2 1TN, England; Univ Washington, Polar Sci Ctr, Seattle, WA 98195 USA</t>
  </si>
  <si>
    <t>University of Bristol; UK Research &amp; Innovation (UKRI); Natural Environment Research Council (NERC); NERC British Antarctic Survey; University of Cambridge; University of Washington; University of Washington Seattle</t>
  </si>
  <si>
    <t>Payne, AJ (corresponding author), Univ Bristol, Ctr Polar Observat &amp; Modelling, Bristol BS8 1TH, Avon, England.</t>
  </si>
  <si>
    <t>Joughin, Ian/AAR-7778-2021; Holland, Paul R/G-2796-2012; Jenkins, Adrian/IUN-2406-2023; Joughin, Ian R/A-2998-2008; Rutt, Ian/A-6307-2012; payne, antony/A-8916-2008</t>
  </si>
  <si>
    <t>Joughin, Ian/0000-0001-6229-679X; Joughin, Ian R/0000-0001-6229-679X; Shepherd, Andrew/0000-0002-4914-1299; Jenkins, Adrian/0000-0002-9117-0616; Rutt, Ian/0000-0003-4015-6010; payne, antony/0000-0001-8825-8425</t>
  </si>
  <si>
    <t>Natural Environment Research Council [cpom10001, NER/A/S/2003/00307, bas010014] Funding Source: researchfish; NERC [bas010014, cpom10001] Funding Source: UKRI</t>
  </si>
  <si>
    <t>C10</t>
  </si>
  <si>
    <t>C10019</t>
  </si>
  <si>
    <t>10.1029/2006JC003733</t>
  </si>
  <si>
    <t>224MC</t>
  </si>
  <si>
    <t>WOS:000250450100001</t>
  </si>
  <si>
    <t>Hegner, E; Dauelsberg, HJ; van der Loeff, MMR; Jeandel, C; de Baar, HJW</t>
  </si>
  <si>
    <t>Hegner, E.; Dauelsberg, H. J.; van der Loeff, M. M. Rutgers; Jeandel, C.; de Baar, H. J. W.</t>
  </si>
  <si>
    <t>Nd isotopic constraints on the origin of suspended particles in the Atlantic sector of the Southern Ocean</t>
  </si>
  <si>
    <t>Southern Ocean; suspended particles; Nd isotopes; sediment provenance; Fe-fertilization; phytoplankton</t>
  </si>
  <si>
    <t>ANTARCTIC CIRCUMPOLAR CURRENT; RARE-EARTH-ELEMENTS; EQUATORIAL PACIFIC-OCEAN; PRINCE-CHARLES MOUNTAINS; EASTERN INDIAN-OCEAN; PAPUA-NEW-GUINEA; WEDDELL SEA; NEODYMIUM ISOTOPES; MARINE-SEDIMENTS; TRACE-ELEMENT</t>
  </si>
  <si>
    <t>In the nutrient-rich Southern Ocean, Fe is a vital constituent controlling the growth of phytoplankton. Despite much effort, the origin and transport of Fe to the oceans are not well understood. In this study we address the issue with geochemical data and Nd isotopic compositions of suspended particle samples collected from 1997 to 1999 in the South Atlantic Sector of the Southern Ocean. Al, Th, and rare earth element (REE) concentrations as well as 143 Nd/144 Nd isotopic ratios in acetic acid-leached particle samples representing the lithogenic fraction delineate three major sources: (1) Patagonia and the Antarctic Peninsula provide material with epsilon(Nd) &gt; -4 that is transported toward the east with the polar and subpolar front jets, (2) the south African shelf, although its influence is limited by the circumpolar circulation and wind direction, can account for material with epsilon(Nd) of -12 to -14 adjacent to South Africa, and (3) East Antarctica provides material with epsilon(Nd) of -10 to -15 to the eastern Weddell Sea and adjacent Antarctic Circumpolar Current. For this region we interpret the Nd isotopic evidence in combination with oceanographic/atmospheric constraints as evidence for supply of significant amounts of terrigenous detritus by icebergs.</t>
  </si>
  <si>
    <t>Univ Munich, Dept Earth &amp; Environm, D-80333 Munich, Germany; Alfred Wegener Inst Polar &amp; Marine Res, D-27576 Bremerhaven, Germany; UPS, LEGOS, CNES, CNRS,Observ Midi Pyrenees, F-31400 Toulouse, France; Koninklijk Nederlands Inst Onderzoek Zee, NL-1790 AB Den Burg, Texel, Netherlands</t>
  </si>
  <si>
    <t>University of Munich; Helmholtz Association; Alfred Wegener Institute, Helmholtz Centre for Polar &amp; Marine Research; Universite de Toulouse; Universite Toulouse III - Paul Sabatier; Centre National de la Recherche Scientifique (CNRS); Institut de Recherche pour le Developpement (IRD); Laboratoire d'Etudes en Geophysique et oceanographie spatiales</t>
  </si>
  <si>
    <t>Hegner, E (corresponding author), Univ Munich, Dept Earth &amp; Environm, D-80333 Munich, Germany.</t>
  </si>
  <si>
    <t>hegner@lmu.de; mloeff@awi-bremerhaven.de; catherine.jeandel@legos.obs-mip.fr; debaar@nioz.nl</t>
  </si>
  <si>
    <t>Jeandel, Catherine/P-3789-2014</t>
  </si>
  <si>
    <t>Jeandel, Catherine/0000-0002-4915-4719</t>
  </si>
  <si>
    <t>OCT 18</t>
  </si>
  <si>
    <t>Q10008</t>
  </si>
  <si>
    <t>10.1029/2007GC001666</t>
  </si>
  <si>
    <t>224KN</t>
  </si>
  <si>
    <t>WOS:000250446000001</t>
  </si>
  <si>
    <t>Nitsche, FO; Jacobs, SS; Larter, RD; Gohl, K</t>
  </si>
  <si>
    <t>Nitsche, F. O.; Jacobs, S. S.; Larter, R. D.; Gohl, K.</t>
  </si>
  <si>
    <t>Bathymetry of the Amundsen Sea continental shelf: Implications for geology, oceanography, and glaciology</t>
  </si>
  <si>
    <t>West Antarctica; continental shelf; bathymetry; seafloor morphology</t>
  </si>
  <si>
    <t>ANTARCTIC ICE-SHEET; PINE ISLAND BAY; SATELLITE ALTIMETRY; FLOOR EVIDENCE; EVOLUTION; HISTORY; RETREAT; MARGIN; STREAM; RECONSTRUCTION</t>
  </si>
  <si>
    <t>The Amundsen Sea continental shelf is one of the most remote areas of coastal Antarctica and was relatively unexplored until the late 1980s. Over the last two decades, increased oceanographic and geological interest has led to several cruises that resulted in sufficient bathymetric data to compile a fairly detailed regional map of the Amundsen continental shelf. We have combined available multibeam and single-beam bathymetry data from various sources and created a new regional bathymetry of the Amundsen Sea continental shelf and margin. Deep trough systems that dominate the inner shelf are aligned with present glaciers and separated by shallower ridges. Shaped by paleo-ice streams, these features merge into a small number of broader troughs on the middle shelf and shoal seaward. They now serve as conduits and reservoirs for relatively warm Circumpolar Deep Water. This new compilation is a major improvement over previously available regional maps and should aid the numerical modeling of ocean circulation, the reconstructions of paleo-ice streams, and the refinement of ice sheet models.</t>
  </si>
  <si>
    <t>Columbia Univ, Lamont Doherty Earth Observ, Palisades, NY 10964 USA; British Antarctic Survey, Geol Sci Div, Cambridge CB3 0ET, England; Alfred Wegener Inst Polar &amp; Marine Res, D-27515 Bremerhaven, Germany</t>
  </si>
  <si>
    <t>Columbia University; UK Research &amp; Innovation (UKRI); Natural Environment Research Council (NERC); NERC British Antarctic Survey; Helmholtz Association; Alfred Wegener Institute, Helmholtz Centre for Polar &amp; Marine Research</t>
  </si>
  <si>
    <t>Nitsche, FO (corresponding author), Columbia Univ, Lamont Doherty Earth Observ, Route 9 W, Palisades, NY 10964 USA.</t>
  </si>
  <si>
    <t>fnitsche@ldeo.columbia.edu</t>
  </si>
  <si>
    <t>Nitsche, Frank O/A-9343-2009</t>
  </si>
  <si>
    <t>Nitsche, Frank O/0000-0002-4137-547X; Larter, Robert/0000-0002-8414-7389; Gohl, Karsten/0000-0002-9558-2116</t>
  </si>
  <si>
    <t>Q10009</t>
  </si>
  <si>
    <t>10.1029/2007GC001694</t>
  </si>
  <si>
    <t>WOS:000250446000002</t>
  </si>
  <si>
    <t>Pertaya, N; Celik, Y; DiPrinzio, CL; Wettlaufer, JS; Davies, PL; Braslavsky, I</t>
  </si>
  <si>
    <t>Pertaya, Natalya; Celik, Yeliz; DiPrinzio, Carlos L.; Wettlaufer, J. S.; Davies, Peter L.; Braslavsky, Ido</t>
  </si>
  <si>
    <t>Growth-melt asymmetry in ice crystals under the influence of spruce budworm antifreeze protein</t>
  </si>
  <si>
    <t>JOURNAL OF PHYSICS-CONDENSED MATTER</t>
  </si>
  <si>
    <t>International Workshop on Current Challenges in Liquid and Glass Science</t>
  </si>
  <si>
    <t>JAN 10-12, 2007</t>
  </si>
  <si>
    <t>Abingdon, ENGLAND</t>
  </si>
  <si>
    <t>ROUGHENING TRANSITION; WINTER FLOUNDER; TENEBRIO-MOLITOR; ANTARCTIC FISHES; INHIBITION; ADSORPTION; EXPRESSION; MECHANISM; INSECT; RECRYSTALLIZATION</t>
  </si>
  <si>
    <t>Here we describe studies of the crystallization behavior of ice in an aqueous solution of spruce budworm antifreeze protein (sbwAFP) at atmospheric pressure. SbwAFP is an ice binding protein with high thermal hysteresis activity, which helps protect Choristoneura fumiferana (spruce budworm) larvae from freezing as they overwinter in the spruce and fir forests of the north eastern United States and Canada. Different types of ice binding proteins have been found in many other species. They have a wide range of applications in cryomedicine and cryopreservation, as well as the potential to protect plants and vegetables from frost damage through genetic engineering. However, there is much to learn regarding the mechanism of action of ice binding proteins. In our experiments, a solution containing sbwAFP was rapidly frozen and then melted back, thereby allowing us to produce small single crystals. These maintained their hexagonal shapes during cooling within the thermal hysteresis gap. Melt growth - melt sequences in low concentrations of sbwAFP reveal the same shape transitions as are found in pure ice crystals at low temperature (-22 degrees C) and high pressure (2000 bar) (Cahoon et al 2006 Phys. Rev. Lett. 96 255502); while both growth and melt shapes display faceted hexagonal morphology, they are rotated 30. relative to one another. Moreover, the initial melt shape and orientation is recovered in the sequence. To visualize the binding of sbwAFP to ice, we labeled the antifreeze protein with enhanced green fluorescent protein (eGFP) and observed the sbwAFP - GFP molecules directly on ice crystals using confocal microscopy. When cooling the ice crystals, facets form on the six primary prism planes (slowest growing planes) that are evenly decorated with sbwAFP - GFP. During melting, apparent facets form on secondary prism planes (fastest melting planes), leaving residual sbwAFP at the six corners of the hexagon. Thus, the same general growth - melt behavior of an apparently rotated crystal that is observed in pure ice under high pressure and low temperature is reproduced in ice under the influence of sbwAFP at ambient pressure and temperatures near 0 degrees C.</t>
  </si>
  <si>
    <t>Ohio Univ, Dept Phys &amp; Astron, Athens, OH 45701 USA; Yale Univ, Dept Geol &amp; Geophys, New Haven, CT 06520 USA; Yale Univ, Dept Phys, New Haven, CT 06520 USA; Queens Univ, Dept Biochem, Kingston, ON K7L 3N6, Canada</t>
  </si>
  <si>
    <t>University System of Ohio; Ohio University; Yale University; Yale University; Queens University - Canada</t>
  </si>
  <si>
    <t>Braslavsky, I (corresponding author), Ohio Univ, Dept Phys &amp; Astron, Athens, OH 45701 USA.</t>
  </si>
  <si>
    <t>braslavs@ohio.edu</t>
  </si>
  <si>
    <t>Wettlaufer, John/AAZ-9949-2021; Braslavsky, Ido/O-1859-2013</t>
  </si>
  <si>
    <t>Braslavsky, Ido/0000-0001-8985-8211</t>
  </si>
  <si>
    <t>0953-8984</t>
  </si>
  <si>
    <t>J PHYS-CONDENS MAT</t>
  </si>
  <si>
    <t>J. Phys.-Condes. Matter</t>
  </si>
  <si>
    <t>OCT 17</t>
  </si>
  <si>
    <t>10.1088/0953-8984/19/41/412101</t>
  </si>
  <si>
    <t>Physics, Condensed Matter</t>
  </si>
  <si>
    <t>218AB</t>
  </si>
  <si>
    <t>WOS:000249987300002</t>
  </si>
  <si>
    <t>Ridgway, KR</t>
  </si>
  <si>
    <t>Ridgway, K. R.</t>
  </si>
  <si>
    <t>Seasonal circulation around Tasmania: An interface between eastern and western boundary dynamics</t>
  </si>
  <si>
    <t>ANTARCTIC CIRCUMPOLAR CURRENT; AUSTRALIA SOUTHERN SHELVES; OCEAN; VARIABILITY; SEA; TOPOGRAPHY; FRONTS</t>
  </si>
  <si>
    <t>The seasonal circulation connecting the Pacific and Indian oceans around Tasmania is documented using seasonal maps from satellite altimetry and sea surface temperature (SST) and in situ mean fields from a high-resolution climatology of the region ( Commonwealth Scientific and Industrial Research Organisation (CSIRO) Atlas of Regional Seas ( CARS)). In general, the surface variability displays a very different character off the east and west coasts. Off the east coast the variability is generated externally, being dominated by the western boundary dynamics of the East Australian Current (EAC). In the west it is weaker and arises from the seasonal rise and fall of the coastal sea level, which is due to the seasonal reversing wind patterns. A high-variability tongue associated with the EAC stretches poleward off the east coast, tracing out a waveguide between the major topographic structures. It has a broad peak in power between 180 and 365 days (&gt;0.08 m), which is a surface height expression of the energetic mesoscale eddy activity associated with the EAC. Distinctive summer and winter patterns of the surface circulation are described which are influenced by the EAC and the Zeehan Current (ZC), respectively. On the east coast in summer ( January-March), there is a poleward advection of warm, saline water forced by an episodic coastal boundary flow. The cross-shelf pressure gradient driving this flow is formed from the difference between the seasonal changes in coastal sea level and the offshore eddies. There is a seasonal reversal of this flow in winter with cool, fresh, modified subantarctic surface waters drawn up from the south. Off the west coast the Zeehan Current operates 180 degrees out of phase with the EAC. It is strongest in winter when it projects warm, relatively saline waters down the western Tasmania coast and around the southern tip of Tasmania. There is a sharp division between the EAC and ZC influence adjacent to the Tasman Peninsula off southeast Tasmania.</t>
  </si>
  <si>
    <t>CSIRO Marine &amp; Atmospher Res, Hobart, Tas 7001, Australia; Wealth Oceans Flagship, Hobart, Tas, Australia</t>
  </si>
  <si>
    <t>Commonwealth Scientific &amp; Industrial Research Organisation (CSIRO); Commonwealth Scientific &amp; Industrial Research Organisation (CSIRO)</t>
  </si>
  <si>
    <t>Ridgway, KR (corresponding author), CSIRO Marine &amp; Atmospher Res, GPO Box 1538, Hobart, Tas 7001, Australia.</t>
  </si>
  <si>
    <t>ken.ridgway@csiro.au</t>
  </si>
  <si>
    <t>Ridgway, Ken/AAA-4040-2019</t>
  </si>
  <si>
    <t>Ridgway, Ken/0000-0002-5861-1360</t>
  </si>
  <si>
    <t>OCT 16</t>
  </si>
  <si>
    <t>C10016</t>
  </si>
  <si>
    <t>10.1029/2006JC003898</t>
  </si>
  <si>
    <t>224MB</t>
  </si>
  <si>
    <t>WOS:000250450000001</t>
  </si>
  <si>
    <t>Brovkin, V; Ganopolski, A; Archer, D; Rahmstorf, S</t>
  </si>
  <si>
    <t>Brovkin, Victor; Ganopolski, Andrey; Archer, David; Rahmstorf, Stefan</t>
  </si>
  <si>
    <t>Lowering of glacial atmospheric CO2 in response to changes in oceanic circulation and marine biogeochemistry</t>
  </si>
  <si>
    <t>SEA-SURFACE TEMPERATURE; SOUTHERN-OCEAN; CARBON-CYCLE; DEEP-SEA; INTERMEDIATE COMPLEXITY; OVERTURNING CIRCULATION; CALCITE LYSOCLINE; NORTH-ATLANTIC; COUPLED MODEL; SYSTEM MODEL</t>
  </si>
  <si>
    <t>We use an Earth system model of intermediate complexity, CLIMBER-2, to investigate what recent improvements in the representation of the physics and biology of the glacial ocean imply for the atmospheric concentration. The coupled atmosphere-ocean model under the glacial boundary conditions is able to reproduce the deep, salty, stagnant water mass inferred from Antarctic deep pore water data and the changing temperature of the entire deep ocean. When carbonate compensation is included in the model, we find a CO2 drawdown of 43 ppmv associated mainly with the shoaling of the Atlantic thermohaline circulation and an increased fraction of water masses of southern origin in the deep Atlantic. Fertilizing the Atlantic and Indian sectors of the Southern Ocean north of the polar front leads to a further drawdown of 37 ppmv. Other changes to the glacial carbon cycle include a decrease in the amount of carbon stored in the terrestrial biosphere ( 540 Pg C), which increases atmospheric CO2 by 15 ppmv, and a change in ocean salinity resulting from a drop in sea level, which elevates CO2 by another 12 ppmv. A decrease in shallow water CaCO3 deposition draws down CO2 by 12 ppmv. In total, the model is able to explain more than two thirds ( 65 ppmv) of the glacial to interglacial CO2 change, based only on mechanisms that are clearly documented in the proxy data. A good match between simulated and reconstructed distribution of delta C-13 changes in the deep Atlantic suggests that the model captures the mechanisms of reorganization of biogeochemistry in the Atlantic Ocean reasonably well. Additional, poorly constrained mechanisms to explain the rest of the observed drawdown include changes in the organic carbon: CaCO3 ratio of sediment rain reaching the seafloor, iron fertilization in the subantarctic Pacific Ocean, and changes in terrestrial weathering.</t>
  </si>
  <si>
    <t>Potsdam Inst Climate Impact Res, Potsdam, Germany; Univ Chicago, Dept Geophys Sci, Chicago, IL 60637 USA</t>
  </si>
  <si>
    <t>Potsdam Institut fur Klimafolgenforschung; University of Chicago</t>
  </si>
  <si>
    <t>Brovkin, V (corresponding author), Potsdam Inst Climate Impact Res, POB 601203, Potsdam, Germany.</t>
  </si>
  <si>
    <t>Archer, David/K-7371-2012; Brovkin, Victor/I-7450-2012; Ganopolski, Andrey/F-6811-2013; Brovkin, Victor/C-2803-2016; Rahmstorf, Stefan/A-8465-2010</t>
  </si>
  <si>
    <t>Archer, David/0000-0002-4523-7912; Brovkin, Victor/0000-0001-6420-3198; Rahmstorf, Stefan/0000-0001-6786-7723</t>
  </si>
  <si>
    <t>PA4202</t>
  </si>
  <si>
    <t>10.1029/2006PA001380</t>
  </si>
  <si>
    <t>224MR</t>
  </si>
  <si>
    <t>WOS:000250451600001</t>
  </si>
  <si>
    <t>Sonan, GK; Receveur-Brechot, V; Duez, C; Aghajari, N; Czjzek, M; Haser, R; Gerday, C</t>
  </si>
  <si>
    <t>Sonan, Guillaume K.; Receveur-Brechot, Veronique; Duez, Colette; Aghajari, Nushin; Czjzek, Mirjam; Haser, Richard; Gerday, Charles</t>
  </si>
  <si>
    <t>The linker region plays a key role in the adaptation to cold of the cellulase from an Antarctic bacterium</t>
  </si>
  <si>
    <t>BIOCHEMICAL JOURNAL</t>
  </si>
  <si>
    <t>cellulase; linker; Pseudoalteromonas haloplanktis; psychrophile; small-angle X-ray scattering (SAXS)</t>
  </si>
  <si>
    <t>PSYCHROPHILIC CELLULASE; BINDING DOMAINS; PROTEIN DISORDER; FLEXIBILITY; SEQUENCE; ENZYMES; EGZ; HEMICELLULASES; STABILITY</t>
  </si>
  <si>
    <t>The psychrophilic cellulase, Cel5G, from the Antarctic bacterium Pseudoalteromonas haloplanktis is composed of a catalytic module (CM) joined to a carbohydrate-binding module (CBM) by an unusually long, extended and flexible linker region (LR) containing three loops closed by three disulfide bridges. To evaluate the possible role of this region in cold adaptation, the LR was sequentially shortened by protein engineering, successively deleting one and two loops of this module, whereas the last disulfide bridge was also suppressed by replacing the last two cysteine residue by two alanine residues. The kinetic and thermodynamic properties of the mutants were compared with those of the full-length enzyme, and also with those of the cold-adapted CM alone and with those of the homologous mesophilic enzyme, Cel5A, from Erwinia chrysanthemi. The thermostability of the mutated enzymes as well as their relative flexibility were evaluated by differential scanning calorimetry and fluorescence quenching respectively. The topology of the structure of the shortest mutant was determined by SAXS (small-angle X-ray scattering). The data indicate that the sequential shortening of the LR induces a regular decrease of the specific activity towards macromolecular substrates, reduces the relative flexibility and concomitantly increases the thermostability of the shortened enzymes. This demonstrates that the long LR of the full-length enzyme favours the catalytic efficiency at low and moderate temperatures by rendering the structure not only less compact, but also less stable, and plays a crucial role in the adaptation to cold of this cellulolytic enzyme.</t>
  </si>
  <si>
    <t>Univ Liege, Inst Chim B6, Biochim Lab, B-4000 Liege, Belgium; Univ Liege, Inst Chim B6, Ctr Ingn Proteines, B-4000 Liege, Belgium; CNRS, UMR 6098, F-13488 Marseille, France; Univ Aix Marseille 1, F-13488 Marseille, France; Univ Aix Marseille 2, F-13488 Marseille, France; CNRS, Inst Biol &amp; Chim Proteines, Lab Bio Cristallog, F-69367 Lyon, France; Univ Lyon 1, UMR 5086, IFR 128 Biosci Lyon Gerland, F-69367 Lyon 07, France; Stn Biol Roscoff Vegetaux Marins &amp; Biomol, UMR 7139, F-29682 Roscoff, France</t>
  </si>
  <si>
    <t>University of Liege; University of Liege; Centre National de la Recherche Scientifique (CNRS); Aix-Marseille Universite; Aix-Marseille Universite; Aix-Marseille Universite; Centre National de la Recherche Scientifique (CNRS); Centre National de la Recherche Scientifique (CNRS); CNRS - National Institute for Biology (INSB); Universite Claude Bernard Lyon 1</t>
  </si>
  <si>
    <t>Gerday, C (corresponding author), Univ Liege, Inst Chim B6, Biochim Lab, B-4000 Liege, Belgium.</t>
  </si>
  <si>
    <t>ch.gerday@ulg.ac.be</t>
  </si>
  <si>
    <t>; Aghajari, Nushin/P-1906-2016</t>
  </si>
  <si>
    <t>Receveur-Brechot, Veronique/0000-0002-7464-6192; Aghajari, Nushin/0000-0002-2245-2679</t>
  </si>
  <si>
    <t>PORTLAND PRESS LTD</t>
  </si>
  <si>
    <t>CHARLES DARWIN HOUSE, 12 ROGER STREET, LONDON WC1N 2JU, ENGLAND</t>
  </si>
  <si>
    <t>0264-6021</t>
  </si>
  <si>
    <t>1470-8728</t>
  </si>
  <si>
    <t>BIOCHEM J</t>
  </si>
  <si>
    <t>Biochem. J.</t>
  </si>
  <si>
    <t>OCT 15</t>
  </si>
  <si>
    <t>10.1042/BJ20070640</t>
  </si>
  <si>
    <t>220WS</t>
  </si>
  <si>
    <t>WOS:000250188600015</t>
  </si>
  <si>
    <t>Roy, M; van de Flierdt, TV; Hemming, SR; Goldstein, SL</t>
  </si>
  <si>
    <t>Roy, Martin; van de Flierdt, Tina; Hemming, Sidney R.; Goldstein, Steven L.</t>
  </si>
  <si>
    <t>40Ar/39Ar ages of hornblende grains and bulk Sm/Nd isotopes of circum-Antarctic glacio-marine sediments: Implications for sediment provenance in the Southern Ocean</t>
  </si>
  <si>
    <t>CHEMICAL GEOLOGY</t>
  </si>
  <si>
    <t>Sm-Nd isotopes; 40Ar/39Ar ages; sedimentary provenance; glacio-marine sediments; Antarctic geology</t>
  </si>
  <si>
    <t>SM-ND; EAST ANTARCTICA; PENSACOLA MOUNTAINS; ROSS EMBAYMENT; VICTORIA-LAND; ENDERBY LAND; ICE-SHEET; RB-SR; GONDWANA; CRUSTAL</t>
  </si>
  <si>
    <t>The transfer of terrigenous sediments from Antarctica to the Southern Ocean results from glaciological processes and subsequent transport by ocean cur-rents. Establishing the link between the composition of circumpolar sediments and the geology of Antarctica can provide important insights into past ice sheet and ocean current dynamics. Here we document the variability of Antarctic sediment sources using 40Ar/39Ar ages of individual detrital hornblende grains and bulk (&lt;63 m) Sm/Nd isotope systematics from glacio-marine sediments from 29 cores surrounding Antarctica. High Nd-143/Nd-144 ratios and associated young Sm/Nd-model ages characterize sediments proximal to West Antarctica, while lower Nd-143/Nd-144 ratios and correspondingly older Sm/Nd-model ages are found in samples nearby East Antarctica. Detrital hornblende grains in West Antarctic sediments typically have 40Ar/39Ar ages younger than 200 Ma while East Antarctic hornblende grains yield 40Ar/39Ar ages that cluster in a predominant population centered on similar to 500 Ma, reflecting the widespread late Neoproterozoic-early Cambrian (Pan-African and Ross) orogenies that affected East Antarctica. An exception comes from sediments adjacent to Wilkes Land, where abundant Mesoproterozoic and Paleoproterozoic hornblende grains suggest that this portion of the East Antarctic craton was largely buffered from Pan-African metamorphism. The geochemical characteristics of sediment sources are thus consistent with the geology of rock outcrops around the Antarctic perimeter. The combined Sm-Nd data and 40Ar/39Ar ages of circum-Antarctic glacio-marine sediments outline several geographic sectors with distinct provenance signals, thereby providing a base map for fingerprinting sediment sources from the Antarctic margin. (C) 2007 Elsevier B.V All rights reserved.</t>
  </si>
  <si>
    <t>Columbia Univ, Lamont Doherty Earth Observ, Palisades, NY 10964 USA; Columbia Univ, Dept Earth &amp; Environm Sci, New York, NY 10027 USA</t>
  </si>
  <si>
    <t>Columbia University; Columbia University</t>
  </si>
  <si>
    <t>Roy, M (corresponding author), Columbia Univ, Lamont Doherty Earth Observ, 61 Route 9W, Palisades, NY 10964 USA.</t>
  </si>
  <si>
    <t>Hemming, Sidney/0000-0001-8117-2303; Goldstein, Steven L/0000-0001-7252-8064</t>
  </si>
  <si>
    <t>0009-2541</t>
  </si>
  <si>
    <t>1872-6836</t>
  </si>
  <si>
    <t>CHEM GEOL</t>
  </si>
  <si>
    <t>Chem. Geol.</t>
  </si>
  <si>
    <t>10.1016/j.chemgeo.2007.07.017</t>
  </si>
  <si>
    <t>222GS</t>
  </si>
  <si>
    <t>WOS:000250284900011</t>
  </si>
  <si>
    <t>Sloyan, BM; Kamenkovich, IV</t>
  </si>
  <si>
    <t>Sloyan, Bernadette M.; Kamenkovich, Igor V.</t>
  </si>
  <si>
    <t>Simulation of Subantarctic Mode and Antarctic Intermediate Waters in climate models</t>
  </si>
  <si>
    <t>THERMOHALINE CIRCULATION; SOUTHERN-OCEAN; PACIFIC; THERMOCLINE; TEMPERATURE; VARIABILITY; ADVECTION; LATITUDE; FLUXES</t>
  </si>
  <si>
    <t>The Southern Ocean's Subantarctic Mode Water ( SAMW) and Antarctic Intermediate Water ( AAIW) are two globally significant upper-ocean water masses that circulate in all Southern Hemisphere subtropical gyres and cross the equator to enter the North Pacific and North Atlantic Oceans. Simulations of SAMW and AAIW for the twentieth century in eight climate models [ GFDL-CM2.1, CCSM3, CNRM-CM3, MIROC3.2( medres), MIROC3.2( hires), MRI-CGCM2.3.2, CSIRO-Mk3.0, and UKMO-HadCM3] that provided their output in support of the Intergovernmental Panel on Climate Change's Fourth Assessment Report ( IPCC AR4) have been compared to the Commonwealth Scientific and Industrial Research Organisation ( CSIRO) Atlas of Regional Seas. The climate models, except for UKMO-HadCM3, CSIRO-Mk3.0, and MRI-CGCM2.3.2, provide a reasonable simulation of SAMW and AAIW isopycnal temperature and salinity in the Southern Ocean. Many models simulate the potential vorticity minimum layer and salinity minimum layer of SAMW and AAIW, respectively. However, the simulated SAMW layer is generally thinner and at lighter densities than observed. All climate models display a limited equatorward extension of SAMW and AAIW north of the Antarctic Circumpolar Current. Errors in the simulation of SAMW and AAIW property characteristics are likely to be due to a combination of many errors in the climate models, including simulation of wind and buoyancy forcing, inadequate representation of subgrid-scale mixing processes in the Southern Ocean, and midlatitude diapycnal mixing parameterizations.</t>
  </si>
  <si>
    <t>CSIRO Marine &amp; Atmospher Res, Hobart, Tas 7001, Australia; Univ Washington, Seattle, WA 98195 USA; Wealth Oceans Flagship, Hobart, Tas, Australia</t>
  </si>
  <si>
    <t>Commonwealth Scientific &amp; Industrial Research Organisation (CSIRO); University of Washington; University of Washington Seattle; Commonwealth Scientific &amp; Industrial Research Organisation (CSIRO)</t>
  </si>
  <si>
    <t>Sloyan, BM (corresponding author), CSIRO Marine &amp; Atmospher Res, GPO Box 1538, Hobart, Tas 7001, Australia.</t>
  </si>
  <si>
    <t>bernadette.sloyan@csiro.au</t>
  </si>
  <si>
    <t>Kamenkovich, Igor/AAG-3451-2019; Sloyan, Bernadette/N-8989-2014</t>
  </si>
  <si>
    <t>Sloyan, Bernadette/0000-0003-0250-0167; Kamenkovich, Igor/0000-0001-6228-5599</t>
  </si>
  <si>
    <t>45 BEACON ST, BOSTON, MA 02108-3693, UNITED STATES</t>
  </si>
  <si>
    <t>10.1175/JCLI4295.1</t>
  </si>
  <si>
    <t>219SU</t>
  </si>
  <si>
    <t>WOS:000250105900003</t>
  </si>
  <si>
    <t>Chintalapati, S; Prakash, JSS; Singh, AK; Ohtani, S; Suzuki, W; Murata, N; Shivaji, S</t>
  </si>
  <si>
    <t>Chintalapati, Suresh; Prakash, J. S. S.; Singh, Ashish K.; Ohtani, Shuji; Suzuki, Wane; Murata, Norio; Shivaji, Sisinthy</t>
  </si>
  <si>
    <t>Desaturase genes in a psychrotolerant Nostoc sp are constitutively expressed at low temperature</t>
  </si>
  <si>
    <t>BIOCHEMICAL AND BIOPHYSICAL RESEARCH COMMUNICATIONS</t>
  </si>
  <si>
    <t>cyanobacteria; Nostoc sp.; Desaturases; des genes; constitutive expression; antarctica; psychrotolerant; fatty acid composition; RT-PCR</t>
  </si>
  <si>
    <t>FATTY-ACID DESATURATION; BLUE-GREEN-ALGA; SYNECHOCYSTIS PCC6803; MEMBRANE-LIPIDS; DEPENDENT EXPRESSION; ANABAENA-VARIABILIS; CHILLING TOLERANCE; CYANOBACTERIUM; COLD; PHOTOINHIBITION</t>
  </si>
  <si>
    <t>Antarctic psychrotolerant, Nostoc sp. (SO-36), when grown at 25 degrees C and then shifted to 10 degrees C, showed an increase in the tri-unsaturated fatty acid [C-18:3(9,C-12,(15))] at the expense of mono- [C-18:1(9)] and di-unsaturated [C-18:2(9,C-12)] fatty acids. These results indicate that the activities of the enzymes DesA and DesB are up-regulated, when cultures were grown at 10 degrees C or shifted to 10 degrees C from 25 'C. However, RT-PCR studies indicated a constitutive expression of desA, desB, desC, and desC2 genes when cultures grown at 25 degrees C were shifted to 10 degrees C. This constitutive expression of des genes is in contrast to that observed in mesophilic cyanobacteria, in which desA and desB are transcriptionally up-regulated in response to lowering of growth temperature. (c) 2007 Elsevier Inc. All rights reserved.</t>
  </si>
  <si>
    <t>Ctr Cellular &amp; Mol Biol, Hyderabad 500007, Andhra Pradesh, India; Natl Inst Basic Biol, Okazaki, Aichi 4448585, Japan; Shimane Univ, Fac Educ, Dept Biol, Matsue, Shimane 690, Japan; Univ Tsukuba, Grad Sch Life &amp; Environm Sci, Tsukuba, Ibaraki 3058572, Japan</t>
  </si>
  <si>
    <t>Council of Scientific &amp; Industrial Research (CSIR) - India; CSIR - Centre for Cellular &amp; Molecular Biology (CCMB); National Institutes of Natural Sciences (NINS) - Japan; National Institute for Basic Biology (NIBB); Shimane University; University of Tsukuba</t>
  </si>
  <si>
    <t>Shivaji, S (corresponding author), Ctr Cellular &amp; Mol Biol, Uppal Rd, Hyderabad 500007, Andhra Pradesh, India.</t>
  </si>
  <si>
    <t>shivas@ccmb.res.in</t>
  </si>
  <si>
    <t>Murata, Norio/E-6569-2010; Murata, Norio/O-7945-2019</t>
  </si>
  <si>
    <t>Murata, Norio/0000-0002-6605-5800; Singh, Ashish/0000-0001-8076-0816; shivaji, sisinthy/0000-0003-0376-4658</t>
  </si>
  <si>
    <t>0006-291X</t>
  </si>
  <si>
    <t>1090-2104</t>
  </si>
  <si>
    <t>BIOCHEM BIOPH RES CO</t>
  </si>
  <si>
    <t>Biochem. Biophys. Res. Commun.</t>
  </si>
  <si>
    <t>OCT 12</t>
  </si>
  <si>
    <t>10.1016/j.bbrc.2007.07.150</t>
  </si>
  <si>
    <t>208ZK</t>
  </si>
  <si>
    <t>WOS:000249357700014</t>
  </si>
  <si>
    <t>Mercer, JL; Kröger, C; Nardi, B; Johnson, BJ; Chipperfield, MP; Wood, SW; Nichol, SE; Santee, ML; Deshler, T</t>
  </si>
  <si>
    <t>Mercer, J. L.; Kroeger, C.; Nardi, B.; Johnson, B. J.; Chipperfield, M. P.; Wood, S. W.; Nichol, S. E.; Santee, M. L.; Deshler, T.</t>
  </si>
  <si>
    <t>Comparison of measured and modeled ozone above McMurdo Station, Antarctica, 1989-2003, during austral winter/spring</t>
  </si>
  <si>
    <t>3-DIMENSIONAL MODEL; TRANSPORT MODEL; CATHODE SOLUTIONS; POLAR VORTEX; CHEMISTRY; STRATOSPHERE; PROFILES; WINTER; RESOLUTION; SENSITIVITY</t>
  </si>
  <si>
    <t>[ 1] Fifteen years of ozonesonde measurements at McMurdo Station, Antarctica ( 78 degrees S), are used to test the ability of the SLIMCAT off-line 3-D chemical transport model to reproduce Antarctic stratospheric ozone in the period of August-October over many annual cycles. Two versions of SLIMCAT, both previously used in Arctic studies, are used in a detailed quantitative comparison for total column ozone and ozone mixing ratios ( O3MR) at the vertical resolution of SLIMCAT. The newer model run, EC, forced by ERA-40 ECMWF meteorological ( re) analyses, uses a general circulation model ( GCM) radiation scheme to derive vertical transport and has improved chemistry and denitrification. The older run, UK, uses UKMO analyses and the MIDRAD scheme. Run EC shows good agreement with measured total column ozone ( within +/- 10%). Run UK has similar agreement except during the annual ozone depletion period when run UK overestimates total column ozone by similar to 20% in many years. Linear regression of O3MR shows run EC is in excellent agreement with measurements, R-2 = 0.89. Run UK does not agree as well at higher altitudes in late winter. Overall, the newer version of SLIMCAT, with improved vertical velocity due to the use of the GCM radiation scheme and improved vertical and temporal resolution due to the use of ERA-40 ECMWF ( re) analyses, does well in reproducing variations in Antarctic ozone concentrations over many annual cycles, indicating SLIMCAT can make useful contributions to chemistry climate models ( CCM).</t>
  </si>
  <si>
    <t>Univ Wyoming, Dept Atmospher Sci, Laramie, WY 82071 USA; Inst Geol &amp; Nucl Sci, Lower Hutt, New Zealand; Univ Corp Atmospher Res, Boulder, CO USA; NOAA, Earth Syst Res Lab, Global Monitoring Div, Boulder, CO USA; Univ Leeds, Sch Earth Environm, Leeds, W Yorkshire, England; New Zealand Natl Inst Water &amp; Atmospher Res Ltd, Wellington, New Zealand; Jet Propuls Lab, Pasadena, CA USA</t>
  </si>
  <si>
    <t>University of Wyoming; GNS Science - New Zealand; National Center Atmospheric Research (NCAR) - USA; National Oceanic Atmospheric Admin (NOAA) - USA; University of Leeds; National Institute of Water &amp; Atmospheric Research (NIWA) - New Zealand; National Aeronautics &amp; Space Administration (NASA); NASA Jet Propulsion Laboratory (JPL)</t>
  </si>
  <si>
    <t>Mercer, JL (corresponding author), Univ Wyoming, Dept Atmospher Sci, Laramie, WY 82071 USA.</t>
  </si>
  <si>
    <t>mercer@uwyo.edu</t>
  </si>
  <si>
    <t>Chipperfield, Martyn/H-6359-2013; Santee, MIchelle/R-5762-2019</t>
  </si>
  <si>
    <t>Chipperfield, Martyn/0000-0002-6803-4149;</t>
  </si>
  <si>
    <t>D19</t>
  </si>
  <si>
    <t>D19307</t>
  </si>
  <si>
    <t>10.1029/2006JD007982</t>
  </si>
  <si>
    <t>221HY</t>
  </si>
  <si>
    <t>WOS:000250219200001</t>
  </si>
  <si>
    <t>Herron, JP; Wickwar, VB; Espy, PJ; Meriwether, JW</t>
  </si>
  <si>
    <t>Herron, Joshua P.; Wickwar, Vincent B.; Espy, Patrick J.; Meriwether, John W.</t>
  </si>
  <si>
    <t>Observations of a noctilucent cloud above Logan, Utah (41.7°N, 111.8°W) in 1995</t>
  </si>
  <si>
    <t>HYDROXYL ROTATIONAL TEMPERATURES; POLAR MESOSPHERIC CLOUDS; MESOPAUSE REGION; THERMAL STRUCTURE; GRAVITY-WAVE; LIDAR OBSERVATIONS; FORT-COLLINS; DISTRIBUTIONS; 41-DEGREES-N; CLIMATOLOGY</t>
  </si>
  <si>
    <t>[1] A Rayleigh-scatter lidar has been operated at the Atmospheric Lidar Observatory (ALO) on the Utah State University (USU) campus (41.7 degrees N, 111.8 degrees W) since August 1993. During the morning of 22 June 1995, lidar returns from a noctilucent cloud (NLC) were observed for approximately 1 hr, well away from the twilight periods when NLCs are visible. This detection of an NLC at this latitude shows that the first reported sighting, in 1999 (Wickwar et al., 2002), was not a unique occurrence. This 1995 observation differs from the 1999 one in that temperatures could be deduced. Near the 83-km NLC altitude the temperatures were found to be up to similar to 23 K cooler than the 11-year June climatology for ALO. This analysis shows that these cool temperatures arose, not because the whole profile was cooler, but because of a major temperature oscillation or wave with a 22-km vertical wavelength and a similar to 0.9 km/hr downward phase speed. This large-amplitude wave has many of the characteristics of the diurnal tide. However, the amplitude would have to be enhanced considerably. These lidar observations were supplemented by OH rotational temperature observations from approximately 87 km. These NLC observations equatorward of 50 degrees have been suggested to be significant harbingers of global change. However, if that were the case, the mechanism is more complicated than a simple overall cooling or an increase in water vapor. Accordingly, we propose enhanced generation of gravity waves that would interact with the diurnal tide to produce a large-amplitude wave, the cold phase of which would give rise to low enough temperatures to produce the NLC. The gravity wave source might be orographic in the Mountain West or convective far to the east or south.</t>
  </si>
  <si>
    <t>Utah State Univ, Ctr Atmospher &amp; Space Sci, Logan, UT 84322 USA; British Antarctic Survey, Div Phys Sci, Cambridge, England; Clemson Univ, Dept Phys &amp; Astron, Clemson, SC 29634 USA</t>
  </si>
  <si>
    <t>Utah System of Higher Education; Utah State University; UK Research &amp; Innovation (UKRI); Natural Environment Research Council (NERC); NERC British Antarctic Survey; Clemson University</t>
  </si>
  <si>
    <t>Herron, JP (corresponding author), Utah State Univ, Ctr Atmospher &amp; Space Sci, 4405 Old Main,Hill, Logan, UT 84322 USA.</t>
  </si>
  <si>
    <t>vincent.wickwar@usu.edu</t>
  </si>
  <si>
    <t>OCT 11</t>
  </si>
  <si>
    <t>D19203</t>
  </si>
  <si>
    <t>10.1029/2006JD007158</t>
  </si>
  <si>
    <t>221HW</t>
  </si>
  <si>
    <t>WOS:000250219000002</t>
  </si>
  <si>
    <t>Hudson, SR; Warren, SG</t>
  </si>
  <si>
    <t>Hudson, Stephen R.; Warren, Stephen G.</t>
  </si>
  <si>
    <t>An explanation for the effect of clouds over snow on the top-of-atmosphere bidirectional reflectance</t>
  </si>
  <si>
    <t>RADIATIVE-TRANSFER; OPTICAL-PROPERTIES; SOLAR-RADIATION; ANTARCTIC SNOW; SURFACE; ICE; SCATTERING; SYSTEM; ULTRAVIOLET; GREENLAND</t>
  </si>
  <si>
    <t>It has been a long-standing puzzle why clouds, which should interact with solar radiation similarly to a thin layer of snow, have such a dramatic effect on the reflectance observed by satellites over snow-covered regions. The presence of a cloud over the snow strongly enhances the anisotropy of the scene, so that a cloud-over-snow scene appears darker than clear sky over snow when observed near nadir, but much brighter when observed at large zenith angles in the forward reflected direction. By contrast, when a plane-parallel cloud is placed above a plane-parallel snow surface in a model, it slightly decreases the anisotropy of the system because of the cloud's smaller particles. Using a parameterization for the directional reflectance from East Antarctic snow, developed from extensive near-surface observations from a tower, we show that the unexpected effect of clouds over snow in this region is due to the non-plane-parallel nature of the snow surface, not to unexpected features of the clouds. The snow surface roughness reduces the anisotropy of the reflected sunlight compared to that from a plane-parallel snow surface. Clouds, by hiding this roughness with a surface that is very smooth in units of optical depth, increase the anisotropy by bringing the system closer to the plane-parallel case. We use the surface parameterization to accurately model reflectance observations made from the tower over a ground fog and from the top of the atmosphere over cloud-covered snow by the MISR satellite instrument.</t>
  </si>
  <si>
    <t>Univ Washington, Dept Atmospher Sci, Seattle, WA 98195 USA</t>
  </si>
  <si>
    <t>Hudson, SR (corresponding author), Univ Washington, Dept Atmospher Sci, Box 351640, Seattle, WA 98195 USA.</t>
  </si>
  <si>
    <t>hudson@atmos.washington.edu; sgw@atmos.washington.edu</t>
  </si>
  <si>
    <t>Hudson, Stephen/ABD-9923-2020</t>
  </si>
  <si>
    <t>Hudson, Stephen/0000-0002-6498-9167</t>
  </si>
  <si>
    <t>OCT 10</t>
  </si>
  <si>
    <t>D19202</t>
  </si>
  <si>
    <t>10.1029/2007JD008541</t>
  </si>
  <si>
    <t>221HV</t>
  </si>
  <si>
    <t>WOS:000250218900004</t>
  </si>
  <si>
    <t>Cantero, AL</t>
  </si>
  <si>
    <t>Pena Cantero, Alvaro L.</t>
  </si>
  <si>
    <t>Breaking molds:: Oswaldella laertesi, sp nov., a unique antarctic species of Oswaldella stechow, 1919 (Cnidaria: Hydrozoa: Kirchenpaueriidae)</t>
  </si>
  <si>
    <t>hydroids; new species; benthos; antarctic ocean; biodiversity</t>
  </si>
  <si>
    <t>A new species of the Antarctic genus Oswaldella Stechow is described and figured, and its position amongst the remaining species of the genus is discussed. The material was collected from the Ross Sea area ( Antarctica) during the BioRoss survey of the western Ross Sea and Balleny Islands in 2004. Oswaldella laertesi, sp. nov., is unique amongst known species of the genus in having hydrocladia arranged in three longitudinal rows.</t>
  </si>
  <si>
    <t>Univ Valencia, Fdn Gen Univ Valencia, Inst Cavanilles Biodiversidad &amp; Biol Evolut, Valencia, Spain</t>
  </si>
  <si>
    <t>University of Valencia</t>
  </si>
  <si>
    <t>Cantero, AL (corresponding author), Univ Valencia, Fdn Gen Univ Valencia, Inst Cavanilles Biodiversidad &amp; Biol Evolut, Valencia, Spain.</t>
  </si>
  <si>
    <t>Alvaro.L.Pena@uv.es</t>
  </si>
  <si>
    <t>Cantero, Álvaro Luis Peña/F-7888-2016</t>
  </si>
  <si>
    <t>Pena Cantero, Alvaro/0000-0003-3056-6673</t>
  </si>
  <si>
    <t>10.11646/zootaxa.1612.1.5</t>
  </si>
  <si>
    <t>218TP</t>
  </si>
  <si>
    <t>WOS:000250038100005</t>
  </si>
  <si>
    <t>Józwiak, P; Blazewicz-Paszkowycz, M</t>
  </si>
  <si>
    <t>Jozwiak, Piotr; Blazewicz-Paszkowycz, Magdalena</t>
  </si>
  <si>
    <t>Apseudomorpha (Malacostraca: Tanaidacea) of the ANDEEP III antarctic expedition</t>
  </si>
  <si>
    <t>tanaidacea; apseudomorpha; Apseudes; Collossella; Langapseudes; Leviapseudes; abyssal; Southern Ocean</t>
  </si>
  <si>
    <t>PERACARIDA; CRUSTACEA</t>
  </si>
  <si>
    <t>This paper presents results of studies of apseudomorph tanaidacean collected during the ANDEEP III Expedition to the Antarctic, represented exclusively by the family Apseudidae. Apseudes paragracilis Kudinova-Pasternak, 1975, A. abyssalis Blazewicz-Paszkowycz &amp; Larsen, 2004, Leviapseudes pleonudus Blazewicz- Paszkowycz &amp; Larsen, 2004 were previously recorded in the Antarctic abyssal. A redescription of A. paragracilis together with the description of two new species ( Leviapseudes angelikae n. sp. and Collossella suprema n. gen. n. sp.) are the subject of the present paper.</t>
  </si>
  <si>
    <t>Univ Lodz, Dept Polar Biol &amp; Oceanobiol, PL-90237 Lodz, Poland</t>
  </si>
  <si>
    <t>University of Lodz</t>
  </si>
  <si>
    <t>Józwiak, P (corresponding author), Univ Lodz, Dept Polar Biol &amp; Oceanobiol, PL-90237 Lodz, Poland.</t>
  </si>
  <si>
    <t>magdab@biol.uni.lodz.pl</t>
  </si>
  <si>
    <t>Błażewicz, Magdalena/J-5175-2017</t>
  </si>
  <si>
    <t>Blazewicz, Magdalena/0000-0002-4753-3424; Jozwiak, Piotr/0000-0002-5171-3145</t>
  </si>
  <si>
    <t>OCT 8</t>
  </si>
  <si>
    <t>218TN</t>
  </si>
  <si>
    <t>WOS:000250037900001</t>
  </si>
  <si>
    <t>Owens, N</t>
  </si>
  <si>
    <t>Owens, Nicholas</t>
  </si>
  <si>
    <t>Chilled on the Antarctic</t>
  </si>
  <si>
    <t>Owens, Nicholas/B-6639-2015; Owens, Nicholas John Paul/GRX-5013-2022</t>
  </si>
  <si>
    <t>Owens, Nicholas/0000-0003-4245-5858; Owens, Nicholas John Paul/0000-0001-7972-7285</t>
  </si>
  <si>
    <t>OCT 6</t>
  </si>
  <si>
    <t>219ID</t>
  </si>
  <si>
    <t>WOS:000250077200014</t>
  </si>
  <si>
    <t>Ye, HC; Fetzer, EJ; Bromwich, DH; Fishbein, EF; Olsen, ET; Granger, SL; Lee, SY; Chen, L; Lambrigtsen, BH</t>
  </si>
  <si>
    <t>Ye, Hengchun; Fetzer, Eric J.; Bromwich, David H.; Fishbein, Evan F.; Olsen, Edward T.; Granger, Stephanie L.; Lee, Sung-Yung; Chen, Luke; Lambrigtsen, Bjorn H.</t>
  </si>
  <si>
    <t>Atmospheric total precipitable water from AIRS and ECMWF during Antarctic summer</t>
  </si>
  <si>
    <t>RADIOSONDES; VALIDATION</t>
  </si>
  <si>
    <t>[1] This study compares the atmospheric total precipitable water (PWV) obtained by Atmospheric Infrared Sounder (AIRS) with radiosondes and the European Centre for Medium-range Weather Forecasts (ECMWF) operational analysis products during December 2003 and January 2004. We find that PWV from AIRS Level 3 (daily gridded) data is about 9% drier while ECMWF is 14% moister than sondes at the two grid points closest to the Dome C radiosonde site on the Antarctic Plateau at 3233 m elevation. The largest ECMWF moist biases occur on warmer days at Dome C. When AIRS Level 3 data are compared with ECMWF over the entire Antarctic continent, AIRS and ECMWF PWV have similar variability (correlation coefficients are predominantly 0.8 or higher), but with AIRS drier over most of the Antarctic by a consistent offset of about 0.1-0.2 mm. Because of this constant difference, the largest percentage differences are found over the highland areas of about 2500 meters and above, where absolute water vapor amounts are smallest.</t>
  </si>
  <si>
    <t>Ohio State Univ, Byrd Polar Res Ctr, Polar Meteorol Grp, Columbus, OH 43210 USA; CALTECH, Jet Prop Lab, Pasadena, CA 91109 USA; Calif State Univ Los Angeles, Dept Geog &amp; Urban Anal, Los Angeles, CA 90032 USA</t>
  </si>
  <si>
    <t>University System of Ohio; Ohio State University; California Institute of Technology; National Aeronautics &amp; Space Administration (NASA); NASA Jet Propulsion Laboratory (JPL); California State University System; California State University Los Angeles</t>
  </si>
  <si>
    <t>Ye, HC (corresponding author), Ohio State Univ, Byrd Polar Res Ctr, Polar Meteorol Grp, 1090 Carmack Rd, Columbus, OH 43210 USA.</t>
  </si>
  <si>
    <t>Bromwich, David H/C-9225-2016; Fishbein, Evan/AAO-5882-2021</t>
  </si>
  <si>
    <t>Ye, Hengchun/0000-0001-9693-3734</t>
  </si>
  <si>
    <t>OCT 5</t>
  </si>
  <si>
    <t>L19701</t>
  </si>
  <si>
    <t>10.1029/2006GL028547</t>
  </si>
  <si>
    <t>218WA</t>
  </si>
  <si>
    <t>WOS:000250045500001</t>
  </si>
  <si>
    <t>Géli, L; Cochran, JR; Lee, TC; Francheteau, J; Labails, C; Fouchet, C; Christie, D</t>
  </si>
  <si>
    <t>Geli, L.; Cochran, J. R.; Lee, T. C.; Francheteau, J.; Labails, C.; Fouchet, C.; Christie, D.</t>
  </si>
  <si>
    <t>Thermal regime of the Southeast Indian Ridge between 88°E and 140°E:: Remarks on the subsidence of the ridge flanks</t>
  </si>
  <si>
    <t>AUSTRALIAN-ANTARCTIC DISCORDANCE; BENEATH MIDOCEAN RIDGES; MANTLE TEMPERATURE; CRUSTAL THICKNESS; HEAT-FLOW; GRAVITY-ANOMALIES; SPREADING RATE; OCEAN; DEPTH; LITHOSPHERE</t>
  </si>
  <si>
    <t>The flanks of the Southeast Indian Ridge are characterized by anomalously low subsidence rates for the 0-25 Ma period: less than 300 m Ma(-1/2) between 101 degrees E and 120 degrees E and less than 260 m Ma(-1/2) within the Australian-Antarctic Discordance (AAD), between 120 degrees E and 128 degrees E. The expected along-axis variation in mantle temperature (similar to 50 degrees C) is too small to explain this observation, even when the temperature dependence of the mantle physical properties is accounted for. We successively analyze the effect on subsidence of different factors, such as variations in crustal thickness; the dynamic contribution of an old, detached slab supposedly present within the mantle below the AAD; and depletion in phi(m), a parameter here defined as the ubiquitously distributed melt fraction within the asthenosphere. These effects may all contribute to the observed, anomalously low subsidence rate of the ridge flanks, with the most significant contribution being probably related to the depletion in phi(m). However, these effects have a deep-seated origin that cannot explain the abruptness of the transition across the fracture zones that delineate the boundaries of the AAD, near 120 degrees E and near 128 degrees E, respectively.</t>
  </si>
  <si>
    <t>IFREMER, Marine Geosci Dept, F-29280 Plouzane, France; Columbia Univ, Lamont Doherty Geol Observ, Palisades, NY 10964 USA; Oregon State Univ, Coll Ocean &amp; Atmospher Sci, Corvallis, OR 97331 USA; Univ Bretagne Occidentale, CNRS 6538, UMR, Plouzane, France; Univ Alaska Fairbanks, W Coast &amp; Polar Reg Undersea Res Ctr, Fairbanks, AK USA</t>
  </si>
  <si>
    <t>Ifremer; Columbia University; Oregon State University; Universite de Bretagne Occidentale; University of Alaska System; University of Alaska Fairbanks</t>
  </si>
  <si>
    <t>Géli, L (corresponding author), IFREMER, Marine Geosci Dept, F-29280 Plouzane, France.</t>
  </si>
  <si>
    <t>louis.geli@ifremer.fr; dchristie@guru.uaf.edu</t>
  </si>
  <si>
    <t>Geli, Louis/0000-0001-7049-4577</t>
  </si>
  <si>
    <t>B10</t>
  </si>
  <si>
    <t>B10101</t>
  </si>
  <si>
    <t>10.1029/2006JB004578</t>
  </si>
  <si>
    <t>218WT</t>
  </si>
  <si>
    <t>WOS:000250047400002</t>
  </si>
  <si>
    <t>Whittaker, JM; Müller, RD; Leitchenkov, G; Stagg, H; Sdrolias, M; Gaina, C; Goncharov, A</t>
  </si>
  <si>
    <t>Whittaker, J. M.; Mueller, R. D.; Leitchenkov, G.; Stagg, H.; Sdrolias, M.; Gaina, C.; Goncharov, A.</t>
  </si>
  <si>
    <t>Major Australian-Antarctic plate reorganization at Hawaiian-Emperor bend time</t>
  </si>
  <si>
    <t>SHIMANTO BELT; TECTONIC HISTORY; PACIFIC; SUBDUCTION; MOTIONS; CONVERGENCE; PREDICTION; INITIATION; NORTH; MODEL</t>
  </si>
  <si>
    <t>A marked bend in the Hawaiian-Emperor seamount chain supposedly resulted from a recent major reorganization of the plate-mantle system there 50 million years ago. Although alternative mantle-driven and plate-shifting hypotheses have been proposed, no contemporaneous circum-Pacific plate events have been identified. We report reconstructions for Australia and Antarctica that reveal a major plate reorganization between 50 and 53 million years ago. Revised Pacific Ocean sea-floor reconstructions suggest that subduction of the Pacific-Izanagi spreading ridge and subsequent Marianas/Tonga-Kermadec subduction initiation may have been the ultimate causes of these events. Thus, these plate reconstructions solve long-standing continental fit problems and improve constraints on the motion between East and West Antarctica and global plate circuit closure.</t>
  </si>
  <si>
    <t>Univ Sydney, Sch Geosci, EarthByte Grp, Sydney, NSW 2006, Australia; VNII Okeangeol, Antarctic Brnach, St Petersburg 190121, Russia; Geosci Australia, Canberra, ACT 2601, Australia; Geol Survey Norway, Ctr Geodynam, N-7491 Trondheim, Norway</t>
  </si>
  <si>
    <t>University of Sydney; Geoscience Australia; Geological Survey of Norway</t>
  </si>
  <si>
    <t>Whittaker, JM (corresponding author), Univ Sydney, Sch Geosci, EarthByte Grp, Sydney, NSW 2006, Australia.</t>
  </si>
  <si>
    <t>j.whittaker@geosci.usyd.edu.au</t>
  </si>
  <si>
    <t>Gaina, Carmen/I-5213-2015; Müller, Dietmar/L-1200-2019; Seton, Maria/H-8272-2013; Goncharov, Alexey/AAF-5171-2019; Whittaker, Joanne/B-3695-2010</t>
  </si>
  <si>
    <t>Gaina, Carmen/0000-0001-5533-8103; Müller, Dietmar/0000-0002-3334-5764; Seton, Maria/0000-0001-8541-1367; Leitchenkov, German/0000-0001-6316-8511; Whittaker, Joanne/0000-0002-3170-3935</t>
  </si>
  <si>
    <t>10.1126/science.1143769</t>
  </si>
  <si>
    <t>216YR</t>
  </si>
  <si>
    <t>WOS:000249915400044</t>
  </si>
  <si>
    <t>Khazendar, A; Rignot, E; Larour, E</t>
  </si>
  <si>
    <t>Khazendar, A.; Rignot, E.; Larour, E.</t>
  </si>
  <si>
    <t>Larsen B Ice Shelf rheology preceding its disintegration inferred by a control method</t>
  </si>
  <si>
    <t>ANTARCTIC PENINSULA; CLIMATE-CHANGE; COLLAPSE; PATTERN; MODEL</t>
  </si>
  <si>
    <t>[1] A new, complete velocity field from satellite remote sensing is combined with numerical modeling to infer the rheology of the Larsen B Ice Shelf before its disintegration. The resulting spatial distribution of the flow parameter exhibits large variability, which reflects very well observed ice shelf features. This variability is explained by factors including advection of colder ice from tributary glaciers, bottom melting, and the presence of zones of strong shear and fracture. The inferred distribution is applied to simulate numerically the flow regime of the ice shelf and to examine its modification by the presence of open rifts and by the retreat of ice shelf front between 1996 and 2000. Results demonstrate that variable rheology is essential to understanding ice shelf evolution, especially the close relationship among frontal retreat, fracture, ice flow acceleration, and the destabilization of ice shelves.</t>
  </si>
  <si>
    <t>CALTECH, Jet Prop Lab, Pasadena, CA 91109 USA</t>
  </si>
  <si>
    <t>Khazendar, A (corresponding author), CALTECH, Jet Prop Lab, 4800 Oak Grove Dr, Pasadena, CA 91109 USA.</t>
  </si>
  <si>
    <t>ala.khazendar@jpl.nasa.gov</t>
  </si>
  <si>
    <t>Rignot, Eric/A-4560-2014</t>
  </si>
  <si>
    <t>Rignot, Eric/0000-0002-3366-0481</t>
  </si>
  <si>
    <t>OCT 4</t>
  </si>
  <si>
    <t>L19503</t>
  </si>
  <si>
    <t>10.1029/2007GL030980</t>
  </si>
  <si>
    <t>218VZ</t>
  </si>
  <si>
    <t>WOS:000250045400001</t>
  </si>
  <si>
    <t>Neutel, AM; Heesterbeek, JAP; van de Koppel, J; Hoenderboom, G; Vos, A; Kaldeway, C; Berendse, F; de Ruiter, PC</t>
  </si>
  <si>
    <t>Neutel, Anje-Margriet; Heesterbeek, Johan A. P.; van de Koppel, Johan; Hoenderboom, Guido; Vos, An; Kaldeway, Coen; Berendse, Frank; de Ruiter, Peter C.</t>
  </si>
  <si>
    <t>Reconciling complexity with stability in naturally assembling food webs</t>
  </si>
  <si>
    <t>TROPHIC CASCADES; SOIL; PRODUCTIVITY; ECOSYSTEMS; DYNAMICS; REAL; COMMUNITIES; SYSTEM</t>
  </si>
  <si>
    <t>Understanding how complex food webs assemble through time is fundamental both for ecological theory and for the development of sustainable strategies of ecosystem conservation and restoration. The build-up of complexity in communities is theoretically difficult, because in random-pattern models complexity leads to instability(1). There is growing evidence, however, that nonrandom patterns in the strengths of the interactions between predators and prey strongly enhance system stability(2-4). Here we show how such patterns explain stability in naturally assembling communities. We present two series of below-ground food webs along natural productivity gradients in vegetation successions(5,6). The complexity of the food webs increased along the gradients. The stability of the food webs was captured by measuring the weight of feedback loops(7) of three interacting 'species' locked in omnivory. Low predator-prey biomass ratios in these omnivorous loops were shown to have a crucial role in preserving stability as productivity and complexity increased during succession. Our results show the build-up of food-web complexity in natural productivity gradients and pin down the feedback loops that govern the stability of whole webs. They show that it is the heaviest three-link feedback loop in a network of predator-prey effects that limits its stability. Because the weight of these feedback loops is kept relatively low by the biomass build-up in the successional process, complexity does not lead to instability.</t>
  </si>
  <si>
    <t>Univ York, Dept Environm, York YO10 5DD, N Yorkshire, England; Univ Utrecht, Fac Vet Med, NL-3508 TD Utrecht, Netherlands; Netherlands Inst Ecol, NIOO KNAW, Ctr Estuarine &amp; Marine Ecol, Spatial Ecol Dept, NL-4400 AC Yerseke, Netherlands; Univ Wageningen &amp; Res Ctr, Dept ICT, NL-6700 AB Wageningen, Netherlands; Univ Wageningen &amp; Res Ctr, Soil Sci Ctr, NL-6700 AA Wageningen, Netherlands; Wageningen Univ, Nat Conservat &amp; Plant Ecol Grp, NL-6708 PB Wageningen, Netherlands; Univ Utrecht, Copernicus Inst Sustainable Dev &amp; Innovat, Dept Environm Sci, NL-3508 TC Utrecht, Netherlands</t>
  </si>
  <si>
    <t>University of York - UK; Utrecht University; Royal Netherlands Academy of Arts &amp; Sciences; Netherlands Institute of Ecology (NIOO-KNAW); Wageningen University &amp; Research; Wageningen University &amp; Research; Wageningen University &amp; Research; Utrecht University</t>
  </si>
  <si>
    <t>Neutel, AM (corresponding author), British Antarctic Survey, High Cross,Madingley Rd, Cambridge CB3 0ET, England.</t>
  </si>
  <si>
    <t>anjute@bas.ac.uk</t>
  </si>
  <si>
    <t>Van de Koppel, Johan/E-7266-2010</t>
  </si>
  <si>
    <t>Heesterbeek, Hans/0000-0001-8537-6418</t>
  </si>
  <si>
    <t>NATURE PUBLISHING GROUP</t>
  </si>
  <si>
    <t>MACMILLAN BUILDING, 4 CRINAN ST, LONDON N1 9XW, ENGLAND</t>
  </si>
  <si>
    <t>U11</t>
  </si>
  <si>
    <t>10.1038/nature06154</t>
  </si>
  <si>
    <t>216QG</t>
  </si>
  <si>
    <t>WOS:000249893500045</t>
  </si>
  <si>
    <t>Vincent, RA; Hertzog, A; Boccara, G; Vial, F</t>
  </si>
  <si>
    <t>Vincent, R. A.; Hertzog, A.; Boccara, G.; Vial, F.</t>
  </si>
  <si>
    <t>Quasi-Lagrangian superpressure balloon measurements of gravity-wave momentum fluxes in the polar stratosphere of both hemispheres</t>
  </si>
  <si>
    <t>MOUNTAIN WAVES; SPECTRAL PARAMETERIZATION; DOPPLER-SPREAD; ANTARCTICA</t>
  </si>
  <si>
    <t>Superpressure balloons were flown in 2002 and 2005 in the winter polar vortices of both hemispheres. The balloons can drift for months in the stratosphere acting as quasi-Lagrangian tracers of air-parcel motions. The meteorological datasets acquired are used to retrieve small-scale internal atmospheric gravity wave parameters using wavelet techniques. For the first time, gravity wave momentum fluxes are estimated over wide geographical areas and the results will help constrain gravity wave parameterization schemes used in general circulation climate models. The importance of mountain waves is confirmed, with largest fluxes observed in the lee of Greenland and the Antarctic Peninsula. However, significant momentum fluxes are also observed over the oceans, showing the importance of other wave generation mechanisms.</t>
  </si>
  <si>
    <t>Univ Adelaide, Dept Phys, Adelaide, SA, Australia; Ecole Polytech, Meteorol Dynam Lab, Palaiseau, France</t>
  </si>
  <si>
    <t>University of Adelaide; Sorbonne Universite; Institut Polytechnique de Paris</t>
  </si>
  <si>
    <t>Vincent, RA (corresponding author), Univ Adelaide, Dept Phys, Adelaide, SA, Australia.</t>
  </si>
  <si>
    <t>robert.vincent@adelaide.edu.au; hertzog@lmd.polytechnique.fr; gillian.boccara@lmd.polytechnique.fr; vial@lmd.polytechnique.fr</t>
  </si>
  <si>
    <t>Vincent, Robert A/E-5450-2013; Hertzog, Albert/A-2899-2012</t>
  </si>
  <si>
    <t>Vincent, Robert A/0000-0001-6559-6544;</t>
  </si>
  <si>
    <t>OCT 3</t>
  </si>
  <si>
    <t>L19804</t>
  </si>
  <si>
    <t>10.1029/2007GL031072</t>
  </si>
  <si>
    <t>218VY</t>
  </si>
  <si>
    <t>WOS:000250045300007</t>
  </si>
  <si>
    <t>Bromfield, K; Burrett, CF; Leslie, RA; Meffre, S</t>
  </si>
  <si>
    <t>Bromfield, K.; Burrett, C. F.; Leslie, R. A.; Meffre, S.</t>
  </si>
  <si>
    <t>Jurassic volcaniclastic-basaltic andesite-dolerite sequence in Tasmania: new age constraints for fossil plants from Lune River</t>
  </si>
  <si>
    <t>andesite; antarctica; dolerite; jurassic; plants; Pteridophyta; tasmania</t>
  </si>
  <si>
    <t>DETRITAL ZIRCON; TRACE-ELEMENT; SP-NOV; AUSTRALIA; ANTARCTICA; ORIGIN; PB</t>
  </si>
  <si>
    <t>Jurassic plants excavated from a 12 x 5 m site, at Lune River, southern Tasmania, include an araucarian tree and numerous pteridophytes, belonging to the orders Osmundales, Filicales and Bennettitales. The fossils occur in 2-3 m of immature volcanilithic sandstone beds. The sandstone consists primarily of clasts from granitic basement rocks underlying much of southeast Tasmania and mafic clasts containing feldspathic microliths, and primary, phreatomagmatic quartz crystals. Detrital zircons from the sandstones are mostly Early Jurassic (Toarcian) in age (182 +/- 4 Ma) with minor Triassic (226 Ma), Devonian (380360 Ma) and Proterozoic populations, Basaltic andesite, hereafter referred to as andesite, caps the volcanilithic units and displays similar ratios of fluid-immobile trace elements (e.g. Zr/Nb, Ti/V), to the Jurassic dolerite found in Tasmania, indicative of a common source. The andesites are correlated with the Jurassic Kirkpatrick Basalts (Trans-Antarctic Mountains, Antarctica) based on their field relationships with bounding strata, age, and distinctive similarities in major-element composition and fluid-immobile trace-element ratios. The andesite is interpreted as an extrusive equivalent of the Tasmanian dolerite. Importantly, drillcore from Lune River contains stoped clasts of andesite in fine-grained dolerite, indicating that the andesite pre-dates the dolerite. Thermal alteration index of microfossils (3 - 3.3) and reflectance of organic material within the sediments (0.54-0.77 Ro) resulted from contact metamorphism associated with the emplacement of this basalt. The sedimentology and stratigraphy of the depositional environment, plus the presence of hydrophilic pteridophytes and gymnosperms, indicates that the Toarcian environment was temperate to warm and humid, with an abundant supply of water,</t>
  </si>
  <si>
    <t>Univ Tasmania, Sch Earth Sci, Hobart, Tas 7001, Australia</t>
  </si>
  <si>
    <t>Bromfield, K (corresponding author), Univ Queensland, Ctr Marine Studies, Brisbane, Qld 4072, Australia.</t>
  </si>
  <si>
    <t>k.bromfield@uq.edu.au</t>
  </si>
  <si>
    <t>Meffre, Sebastien/J-8700-2014; Meffre, Sebastien/O-6896-2019</t>
  </si>
  <si>
    <t>Meffre, Sebastien/0000-0003-2741-6076; Meffre, Sebastien/0000-0003-2741-6076</t>
  </si>
  <si>
    <t>OCT</t>
  </si>
  <si>
    <t>10.1080/08120090701488297</t>
  </si>
  <si>
    <t>223PP</t>
  </si>
  <si>
    <t>WOS:000250384700005</t>
  </si>
  <si>
    <t>Gudynaite-Savitch, L; Loiselay, C; Savitch, LV; Simmonds, J; Kohalmi, SE; Choquet, Y; Hüner, NPA</t>
  </si>
  <si>
    <t>Gudynaite-Savitch, Loreta; Loiselay, Christelle; Savitch, Leonid V.; Simmonds, John; Kohalmi, Susanne E.; Choquet, Yves; Huener, Norman P. A.</t>
  </si>
  <si>
    <t>The small domain of cytochrome f from the psychrophile Chlamydomonas raudensis UWO 241 modulates the apparent molecular mass and decreases the accumulation of cytochrome f in the mesophile Chlamydomonas reinhardtii</t>
  </si>
  <si>
    <t>BIOCHEMISTRY AND CELL BIOLOGY</t>
  </si>
  <si>
    <t>Chlamydomonas raudensis; Chlamydomonas reinhardtii; cytochrome f; molecular mass; stability; site-directed mutagenesis; chimeric constructs; biosynthesis</t>
  </si>
  <si>
    <t>PETA MESSENGER-RNA; ANTARCTIC PSYCHROPHILE; OXYGENIC PHOTOSYNTHESIS; ELECTRON-TRANSPORT; B(6)F COMPLEX; GREEN-ALGA; IN-VIVO; PROTEINS; PLASTOCYANIN; ACCLIMATION</t>
  </si>
  <si>
    <t>Cytochrome f from the psychrophile Chlamydomonas raudensis UWO 241 has a lower thermostability of its c-type heme and an apparent molecular mass that is 7 kDa lower than that of the model mesophilic green alga Chlamydomonas reinhardtii. We combined chloroplast transformation, site-directed mutagensis, and the creation of chimeric fusion constructs to assess the contribution of specific domains and (or) amino acids residues to the structure, stability, and accumulation of cytochrome f, as well as its function in photosynthetic intersystem electron transport. We demonstrate that differences in the amino acid sequence of the small domain and specific charged amino acids in the large domain of cytochrome f alter the physical properties of this protein but do not affect either the thermostability of the c-type heme, the apparent half-life of cytochrome f in the presence of the chloroplastic protein synthesis inhibitor chloramphenicol, or the capacity for photosynthetic intersystem electron transport, measured as e(-)/P700. However, pulse-labeling with [C-14]acetate, combined with immunoblotting, indicated that the negative autoregulation of cytochrome f accumulation observed in mesophilic C. reinhardtii transformed with chimeric constructs from the psychrophile was likely the result of the defective association of the chimeric forms of cytochrome f with the other subunits of the cytochrome b(6)/f complex native to the C reinhardtii wild type. These results are discussed in terms of the unique fatty acid composition of the thylakoid membranes of C. raudensis UWO 241 adapted to cold environments.</t>
  </si>
  <si>
    <t>Univ Western Ontario, Dept Biol, London, ON N6A 5B7, Canada; UPMC, CNRS, UMR 7141, Inst Biol Physicochim, F-75005 Paris, France; Agr &amp; Agri Food Canada, ECORC, Ottawa, ON K1A 0C6, Canada</t>
  </si>
  <si>
    <t>Western University (University of Western Ontario); Sorbonne Universite; Centre National de la Recherche Scientifique (CNRS); CNRS - National Institute for Biology (INSB); Agriculture &amp; Agri Food Canada</t>
  </si>
  <si>
    <t>Hüner, NPA (corresponding author), Iogen Corp, Ottawa, ON K0V 1C1, Canada.</t>
  </si>
  <si>
    <t>nhuner@uwo.ca</t>
  </si>
  <si>
    <t>Choquet, Yves/M-5533-2019; Choquet, Yves/ABE-3084-2020</t>
  </si>
  <si>
    <t>Choquet, Yves/0000-0003-4760-3397;</t>
  </si>
  <si>
    <t>CANADIAN SCIENCE PUBLISHING</t>
  </si>
  <si>
    <t>0829-8211</t>
  </si>
  <si>
    <t>1208-6002</t>
  </si>
  <si>
    <t>BIOCHEM CELL BIOL</t>
  </si>
  <si>
    <t>Biochem. Cell Biol.</t>
  </si>
  <si>
    <t>10.1139/O07-066</t>
  </si>
  <si>
    <t>226YN</t>
  </si>
  <si>
    <t>WOS:000250624500009</t>
  </si>
  <si>
    <t>Vergara, A; Franzese, M; Merlino, A; Vitagliano, L; Verde, C; di Prisco, G; Lee, HC; Peisach, J; Mazzarella, L</t>
  </si>
  <si>
    <t>Vergara, Alessandro; Franzese, Marisa; Merlino, Antonello; Vitagliano, Luigi; Verde, Cinzia; di Prisco, Guido; Lee, H. Caroline; Peisach, Jack; Mazzarella, Lelio</t>
  </si>
  <si>
    <t>Structural characterization of ferric hemoglobins from three Antarctic fish species of the suborder notothenioidei</t>
  </si>
  <si>
    <t>BIOPHYSICAL JOURNAL</t>
  </si>
  <si>
    <t>AMINO-ACID-SEQUENCE; CRYSTAL-STRUCTURE; TREMATOMUS-BERNACCHII; BINDING PROPERTIES; NEUROGLOBIN; HEMICHROME; HEXACOORDINATION; STABILITY; MECHANISM; MYOGLOBIN</t>
  </si>
  <si>
    <t>Spontaneous autoxidation of tetrameric Hbs leads to the formation of Fe (III) forms, whose physiological role is not fully understood. Here we report structural characterization by EPR of the oxidized states of tetrameric Hbs isolated from the Antarctic fish species Trematomus bernacchii, Trematomus newnesi, and Gymnodraco acuticeps, as well as the x-ray crystal structure of oxidized Trematomus bernacchii Hb, redetermined at high resolution. The oxidation of these Hbs leads to formation of states that were not usually detected in previous analyses of tetrameric Hbs. In addition to the commonly found aquo-met and hydroxy-met species, EPR analyses show that two distinct hemichromes coexist at physiological pH, referred to as hemichromes I and II, respectively. Together with the high-resolution crystal structure (1.5 angstrom) of T. bernacchii and a survey of data available for other heme proteins, hemichrome I was assigned by x-ray crystallography and by EPR as a bis-His complex with a distorted geometry, whereas hemichrome II is a less constrained (cytochrome b(5)-like) bis-His complex. In four of the five Antartic fish Hbs examined, hemichrome I is the major form. EPR shows that for HbCTn, the amount of hemichrome I is substantially reduced. In addition, the concomitant presence of a penta-coordinated high-spin Fe (III) species, to our knowledge never reported before for a wild-type tetrameric Hb, was detected. A molecular modeling investigation demonstrates that the presence of the bulkier Ile in position 67 beta in HbCTn in place of Val as in the other four Hbs impairs the formation of hemichrome I, thus favoring the formation of the ferric penta-coordinated species. Altogether the data show that ferric states commonly associated with monomeric and dimeric Hbs are also found in tetrameric Hbs.</t>
  </si>
  <si>
    <t>Univ Naples Federico II, Dept Chem, I-80126 Naples, Italy; CNR, Inst Biostrutture Bioimmagini, I-80134 Naples, Italy; CNR, Inst Prot Biochem, I-80131 Naples, Italy; Yeshiva Univ, Albert Einstein Coll Med, Dept Physiol &amp; Biophys, New York, NY 10033 USA</t>
  </si>
  <si>
    <t>University of Naples Federico II; Consiglio Nazionale delle Ricerche (CNR); Istituto di Biostrutture e Bioimmagini (IBB-CNR); Consiglio Nazionale delle Ricerche (CNR); Istituto di Biochimica delle Proteine (IBP-CNR); Yeshiva University</t>
  </si>
  <si>
    <t>Mazzarella, L (corresponding author), Univ Naples Federico II, Dept Chem, Complesso Univ Monte S Angelo, I-80126 Naples, Italy.</t>
  </si>
  <si>
    <t>lelio.mazzarella@unina.it</t>
  </si>
  <si>
    <t>Vergara, Alessandro/0000-0003-4135-0245; Merlino, Antonello/0000-0002-1045-7720; VERDE, Cinzia/0000-0001-6185-282X</t>
  </si>
  <si>
    <t>NHLBI NIH HHS [HL071064-03004] Funding Source: Medline; NIGMS NIH HHS [GM040168, R01 GM040168, R37 GM040168] Funding Source: Medline</t>
  </si>
  <si>
    <t>CELL PRESS</t>
  </si>
  <si>
    <t>50 HAMPSHIRE ST, FLOOR 5, CAMBRIDGE, MA 02139 USA</t>
  </si>
  <si>
    <t>0006-3495</t>
  </si>
  <si>
    <t>1542-0086</t>
  </si>
  <si>
    <t>BIOPHYS J</t>
  </si>
  <si>
    <t>Biophys. J.</t>
  </si>
  <si>
    <t>10.1529/biophysj.107.105700</t>
  </si>
  <si>
    <t>Biophysics</t>
  </si>
  <si>
    <t>212YF</t>
  </si>
  <si>
    <t>WOS:000249632300023</t>
  </si>
  <si>
    <t>Seals provide real-time coverage of Antarctic ocean</t>
  </si>
  <si>
    <t>224EO</t>
  </si>
  <si>
    <t>WOS:000250430500002</t>
  </si>
  <si>
    <t>Farías, S; Smichowski, P; Vélez, D; Montoro, R; Curtosi, A; Vodopívez, C</t>
  </si>
  <si>
    <t>Farias, Silvia; Smichowski, Patricia; Velez, Dinoraz; Montoro, Rosa; Curtosi, Antonio; Vodopivez, Cristian</t>
  </si>
  <si>
    <t>Total and inorganic arsenic in Antarctic macroalgae</t>
  </si>
  <si>
    <t>CHEMOSPHERE</t>
  </si>
  <si>
    <t>algae; arsenic; inorganic arsenic; Antarctica</t>
  </si>
  <si>
    <t>KING-GEORGE-ISLAND; POTTER COVE; EDIBLE SEAWEED; MARINE-ALGAE; ARSENOSUGARS; BIOMASS; GROWTH; METALS</t>
  </si>
  <si>
    <t>The Antarctic region offers unparalleled possibilities of investigating the natural distribution of metals and metalloids, such as arsenic. Total and inorganic As were analysed in nine species of Antarctic macroalgae collected during the 2002 summer season in the Potter Cove area at Jubany-Dallmann Station (South Shetland Islands, Argentinian Base). Total As was determined by inductively coupled plasma-optical emission spectrometry after microwave-assisted acid digestion. Inorganic As was determined by acid digestion, solvent extraction, flow injection-hydride generation-atomic absorption spectrometry. Total As ranged from 5.8 mu g g(-1) dry weight (dw) (Myriogramme sp.) to 152 mu g g(-1) dw (Himantothallits grandifolius). Total As concentrations were higher in Phaeophytes (mean +/- SID: 71 +/- 44 mu g g(-1) dw) than in Rhodophytes (mean SD: 15 +/- 11 mu g g(-1) dw). Inorganic As ranged from 0.12 pg g-1 (Myriogramme sp.) to 0.84 mu g g(-1) dw (Phaeurits antarcticus). The percentage of inorganic As with respect to total As was 0.7 for Phaeophytes, but almost 4 times higher for Rhodophytes (2.6). The work discusses possible causes for the presence of As in marine organisms in that pristine environment. (C) 2007 Elsevier Ltd. All rights reserved.</t>
  </si>
  <si>
    <t>Inst Agroquim &amp; Tecnol Alimentos, Lab Contaminac Met, Valencia 46100, Spain; Comis Nacl Energia Atom, RA-1429 Buenos Aires, DF, Argentina; Inst Antartico Argentino, Buenos Aires, DF, Argentina</t>
  </si>
  <si>
    <t>Consejo Superior de Investigaciones Cientificas (CSIC); Instituto de Agroquimica y Tecnologia de los Alimentos (IATA); Comision Nacional de Energia Atomica (CNEA); Instituto Antartico Argentino</t>
  </si>
  <si>
    <t>Vélez, D (corresponding author), Inst Agroquim &amp; Tecnol Alimentos, Lab Contaminac Met, Apartado Correos 73, Valencia 46100, Spain.</t>
  </si>
  <si>
    <t>deni@iata.csic.es</t>
  </si>
  <si>
    <t>Velez, Dinoraz/H-4255-2012</t>
  </si>
  <si>
    <t>Velez Pacios, Dinoraz/0000-0001-8679-5622</t>
  </si>
  <si>
    <t>0045-6535</t>
  </si>
  <si>
    <t>1879-1298</t>
  </si>
  <si>
    <t>Chemosphere</t>
  </si>
  <si>
    <t>10.1016/j.chemosphere.2007.04.049</t>
  </si>
  <si>
    <t>229CL</t>
  </si>
  <si>
    <t>WOS:000250778800002</t>
  </si>
  <si>
    <t>Franco, BC; Mata, MM; Piola, AR; Garcia, CAE</t>
  </si>
  <si>
    <t>Franco, Barbara C.; Mata, Mauricio M.; Piola, Alberto R.; Garcia, Carlos A. E.</t>
  </si>
  <si>
    <t>Northwestern Weddell Sea deep outflow into the Scotia Sea during the austral summers of 2000 and 2001 estimated by inverse methods</t>
  </si>
  <si>
    <t>northwestern weddell sea; Weddell sea deep water; Inverse methods; DOVETAIL; Deep outflow variations</t>
  </si>
  <si>
    <t>ANTARCTIC BOTTOM WATER; SOUTHERN-OCEAN; THERMOHALINE STRATIFICATION; GENERAL CIRCULATION; CIRCUMPOLAR CURRENT; WORLD OCEAN; TRANSPORT; VARIABILITY; ATLANTIC; PACIFIC</t>
  </si>
  <si>
    <t>The northward outflow of cold, dense water from the Weddell Sea into the world ocean basins plays a key role in balancing the global heat budget. We estimate the geostrophic flow patterns in the northwestern Weddell Sea using box inverse methods applied to quasi-synoptic hydrographic data collected during the Brazilian DOVETAIL 2000 and 2001 austral summer cruises. The analysis is focused on the variations of the deep Weddell Sea outflow into the Scotia Sea within boxes that bound the main deep gaps over the South Scotia Ridge. To determine the geostrophic volume transports in each box, mass, salt, and heat are conserved within neutral density layers that are not in contact with the atmosphere. Implementing the inverse model and using property anomaly equations weighted by the flow estimate uncertainty our results are consistent with those reported in the literature. A bottom triangle extrapolation method is introduced, which improves the estimated property fluxes through hydrographic sections. In the austral summer of 2000 the transports of Weddell Sea Deep Water (WSDW) through the Philip Passage, Orkney Passage, and southwestern Bruce Passage are 0.01 +/- 0.01, 1. 15 +/- 0.33, and 1.03 +/- 0.23 Sv (I Sv = 10(6) m(3)s(-1), &gt;0 is northward), respectively. After extrapolation within bottom triangles these transports increase to 0. 12 +/- 0.03, 3.48 +/- 1.8 1, and 1.20 +/- 2.16 Sv. Analysis of the hydrographic data reveal distinct oceanographic conditions over the Philip Passage region, with evidence of mesoscale meanders, warmer and saltier Warm Deep Water (WDW) and colder WSDW observed in 2001 than in 2000. Despite these differences the WSDW transport does not present a significant variation between 2000 and 2001. The WSDW transports through the Philip Passage in 2001 are 0.012 +/- 0.001 and 0.113 +/- 0.001 Sv after extrapolation within bottom triangles. The circulation derived from the inversion in the austral summer of 2001 suggests a sharp weakening of the barotropic cyclonic flow in the Powell Basin, which may be due to northerly and northeasterly winds associated with an atmospheric low-pressure center located west of the Antarctic Peninsula. We suggest that similar variations in atmospheric forcing may explain changes in the intensity of the cyclonic flow observed in the northwestern Weddell Sea and Powell Basin. (C) 2007 Elsevier Ltd. All rights reserved.</t>
  </si>
  <si>
    <t>Serv Hidrog Naval, Dept Oceanog, Buenos Aires, DF, Argentina; Fundacao Univ Fed Rio Grande, Dept Fis, BR-96201900 Rio Grande, RS, Brazil; Univ Buenos Aires, FCEN, Dept Ciencias Atmosfera &amp; Oceanos, Buenos Aires, DF, Argentina</t>
  </si>
  <si>
    <t>Servicio de Hidrografia Naval; Universidade Federal do Rio Grande; University of Buenos Aires</t>
  </si>
  <si>
    <t>Franco, BC (corresponding author), Serv Hidrog Naval, Dept Oceanog, Av Montes Oca 2124,C1270ABV, Buenos Aires, DF, Argentina.</t>
  </si>
  <si>
    <t>ocebcf@furg.br</t>
  </si>
  <si>
    <t>Garcia, Carlos A. E./K-7382-2012; Piola, Alberto/HZI-5475-2023; Mata, Mauricio/H-4605-2011; Piola, Alberto/O-2280-2013</t>
  </si>
  <si>
    <t>Mata, Mauricio/0000-0002-9028-8284; Piola, Alberto/0000-0002-5003-8926; Franco, Barbara Cristie/0000-0002-5293-2999</t>
  </si>
  <si>
    <t>10.1016/j.dsr.2007.06.003</t>
  </si>
  <si>
    <t>228BT</t>
  </si>
  <si>
    <t>WOS:000250702800008</t>
  </si>
  <si>
    <t>Bernard, ATF; Ansorge, IJ; Froneman, PW; Lutjeharms, JRE; Bernard, KS; Swart, NC</t>
  </si>
  <si>
    <t>Bernard, A. T. F.; Ansorge, I. J.; Froneman, P. W.; Lutjeharms, J. R. E.; Bernard, K. S.; Swart, N. C.</t>
  </si>
  <si>
    <t>Entrainment of Antarctic euphausiids across the Antarctic Polar Front by a cold eddy</t>
  </si>
  <si>
    <t>meso-scale eddies; antarctic polar front; entrainment; macrozooplankton abundance; distribution</t>
  </si>
  <si>
    <t>ISLANDS SOUTHERN-OCEAN; COMMUNITY STRUCTURE; DISTRIBUTION PATTERNS; VICINITY; ZONE; MACROZOOPLANKTON; VARIABILITY; ZOOPLANKTON</t>
  </si>
  <si>
    <t>An unusual region of high meso-scale turbulence has been identified in the Indian Ocean sector of the Southern Ocean. It has been shown that this is the result of eddy shedding from the Antarctic Polar Front. These eddies may dramatically affect the local distribution of marine organisms. To investigate this, the euphausiid community structure and species composition in the region of a cold eddy within the Antarctic Polar Frontal Zone (APFZ) was investigated during April 2005. Water masses within the core of the eddy were typically Antarctic, showing they had come from south of the Antarctic Polar Front. Results of numerical analyses indicate that the euphausiid community within the survey area consisted of three distinct groups: those in APFZ waters, those at the edge of the eddy and those in the core of the eddy. These results indicate that eddies generated by the interaction of the Antarctic Circumpolar Current with the South-West Indian Ridge play an important role in transporting Antarctic euphausiid species equatorward, thus contributing to the spatial heterogeneity of the zooplankton community within the region. (C) 2007 Elsevier Ltd. All rights reserved.</t>
  </si>
  <si>
    <t>Rhodes Univ, Dept Zool &amp; Entomol, So Ocean Grp, ZA-6140 Grahamstown, South Africa; Univ Cape Town, Dept Oceanog, ZA-7700 Rondebosch, South Africa</t>
  </si>
  <si>
    <t>Rhodes University; University of Cape Town</t>
  </si>
  <si>
    <t>Ansorge, IJ (corresponding author), Rhodes Univ, Dept Zool &amp; Entomol, So Ocean Grp, POB 94, ZA-6140 Grahamstown, South Africa.</t>
  </si>
  <si>
    <t>ansorge@ocean.net.ac.za</t>
  </si>
  <si>
    <t>Froneman, William/GLS-0460-2022; Bernard, Anthony/M-8292-2019; Froneman, William/C-9085-2012; Bernard, Kim S/J-2703-2013; ANSORGE, ISABELLE/AAY-7396-2020; Swart, Neil/Q-6608-2019</t>
  </si>
  <si>
    <t>Froneman, William/0000-0003-0615-1355; Bernard, Anthony/0000-0003-0482-6283; Swart, Neil/0000-0002-8200-6187; Ansorge, Isabelle/0000-0001-7071-8147</t>
  </si>
  <si>
    <t>10.1016/j.dsr.2007.06.007</t>
  </si>
  <si>
    <t>WOS:000250702800009</t>
  </si>
  <si>
    <t>Peyve, AA; Skolotnev, SG; Ligi, M; Turko, NN; Bonatti, E; Kolodyazhnyi, SY; Chamov, NP; Tsukanov, NV; Baramykov, YE; Eskin, AE; Grindlay, N; Sclater, JG; Brunelly, D; Pertsev, AN; Cipriani, A; Bortoluzzi, G; Mercuri, R; Paganelli, E; Muccini, F; Takeuchi, C; Zaffagnini, F; Dobrolyubova, KO</t>
  </si>
  <si>
    <t>Peyve, A. A.; Skolotnev, S. G.; Ligi, M.; Turko, N. N.; Bonatti, E.; Kolodyazhnyi, S. Yu.; Chamov, N. P.; Tsukanov, N. V.; Baramykov, Yu. E.; Eskin, A. E.; Grindlay, N.; Sclater, J. G.; Brunelly, D.; Pertsev, A. N.; Cipriani, A.; Bortoluzzi, G.; Mercuri, R.; Paganelli, E.; Muccini, F.; Takeuchi, Ch.; Zaffagnini, F.; Dobrolyubova, K. O.</t>
  </si>
  <si>
    <t>Investigation of the Andrew Bain transform fault zone (African-Antarctic region)</t>
  </si>
  <si>
    <t>SOUTHWEST INDIAN RIDGE; GRAVITY-ANOMALIES</t>
  </si>
  <si>
    <t>Russian Acad Sci, Inst Geol, Moscow 119017, Russia; Inst Marine Sci, Bologna, Italy; Russian Acad Sci, PP Shirshov Oceanol Inst, Moscow 117997, Russia; Russian Acad Sci, Inst Geol Ore Deposits Petrog Mineral &amp; Geochem, Moscow 119017, Russia; Univ N Carolina, Wilmington, NC 28401 USA; Scripps Inst Oceanog, San Diego, CA USA; Univ Rome, Rome, Italy; Univ Modena, I-41100 Modena, Italy</t>
  </si>
  <si>
    <t>Geological Institute, Russian Academy of Sciences; Russian Academy of Sciences; Consiglio Nazionale delle Ricerche (CNR); Istituto di Scienze Marine (ISMAR-CNR); Russian Academy of Sciences; Shirshov Institute of Oceanology; Russian Academy of Sciences; Institute of Geology of Ore Deposits, Petrography, Mineralogy &amp; Geochemistry; University of North Carolina; University of North Carolina Wilmington; University of California System; University of California San Diego; Scripps Institution of Oceanography; Sapienza University Rome; Universita di Modena e Reggio Emilia</t>
  </si>
  <si>
    <t>Skolotnev, SG (corresponding author), Russian Acad Sci, Inst Geol, Pyzhevskii Per 7, Moscow 119017, Russia.</t>
  </si>
  <si>
    <t>skol@ginras.ru</t>
  </si>
  <si>
    <t>Chamov, Nikolai Petrovich/B-1910-2016; Muccini, Filippo/AAC-9602-2021; Brunelli, Daniele/AGI-3668-2022; Skolotnev, Sergey G/T-2239-2017; Kolodyazhny, Sergei/K-3045-2013; Brunelli, Daniele/B-7893-2012; Peyve, Alexander A/J-5724-2013; Ligi, Marco/G-4853-2012; Tsukanov, Nikolay/AAF-6284-2019; Tsukanov, Nikolay/R-7489-2016; Pertsev, Alexey/AAS-5397-2020; Cipriani, Anna/A-2797-2012; CNR, Ismar/P-1247-2014</t>
  </si>
  <si>
    <t>Brunelli, Daniele/0000-0003-4839-1939; Ligi, Marco/0000-0002-5098-5907; Bonatti, Enrico/0000-0001-6162-9572; Cipriani, Anna/0000-0001-8457-0147; Chamov, Nikolai/0000-0001-6149-8445; CNR, Ismar/0000-0001-5351-1486</t>
  </si>
  <si>
    <t>10.1134/S1028334X07070021</t>
  </si>
  <si>
    <t>225IN</t>
  </si>
  <si>
    <t>WOS:000250511700002</t>
  </si>
  <si>
    <t>Chase, BM; Meadows, ME</t>
  </si>
  <si>
    <t>Chase, Brian M.; Meadows, Michael E.</t>
  </si>
  <si>
    <t>Late Quaternary dynamics of southern Africa's winter rainfall zone</t>
  </si>
  <si>
    <t>EARTH-SCIENCE REVIEWS</t>
  </si>
  <si>
    <t>southern Africa; winter rainfall zone; quaternary; palaeoenvironment; westerlics last glacial maximum</t>
  </si>
  <si>
    <t>LAST GLACIAL MAXIMUM; AUSTRALIAN SUMMER MONSOON; SEA-SURFACE TEMPERATURES; FECAL DEPOSITS HYRACEUM; LINEAR DUNE DEVELOPMENT; LAKE RUKWA 8-DEGREES-S; WESTERN CAPE PROVINCE; CENTRAL NAMIB DESERT; PAST 25,000 YEARS; LATE PLEISTOCENE</t>
  </si>
  <si>
    <t>Variations in the nature and extent of southern Africa's winter rainfall zone (WRZ) have the potential to provide important information concerning the nature of long-term climate change at both regional and hemispheric scales. Positioned at the interface between tropical and temperate systems, southern Africa's climate is influenced by shifts in the Intertropical Convergence Zone, the westerlies, and the development and position of continental and oceanic anticyclones. Over the last glacial-interglacial cycle substantial changes in the amount and seasonality of precipitation across the subcontinent have been linked to the relative dominance of these systems. Central to this discussion has been the extent to which the region's glacial climates would have been affected by expansions of Antarctic sea-ice, equatorward migrations of the westerlies, more frequent/intense winter storms and an expanded WRZ. This paper reviews the developing body of evidence pertaining to shifts in the WRZ, and the evolution of ideas that have been presented to explain the patterns observed. Dividing the region into three separate axes, along the western and southern margins of the continent and across the interior into the Karoo and the Kalahari, a range of evidence from both terrestrial sites and marine cores is considered, and potential expansions of the WRZ expansions are explored. Despite the limitations of many of the region's proxy records, a coherent pattern has begun to develop of a significantly expanded WRZ during phases of the last glacial period, with the best-documented being between 32-17 ka. While more detailed inferences will require the recovery and analysis of longer and better-dated records, this synthesis provides a new baseline for further research in this key region. (c) 2007 Elsevier B.V. All rights reserved.</t>
  </si>
  <si>
    <t>Univ Cape Town, Dept Environ &amp; Geog Sci, ZA-7701 Rondebosch, South Africa; Univ Oxford, Ctr Environm, Sch Geog, Oxford OX1 3QY, England</t>
  </si>
  <si>
    <t>University of Cape Town; University of Oxford</t>
  </si>
  <si>
    <t>Chase, BM (corresponding author), Univ Cape Town, Dept Environ &amp; Geog Sci, Private Bag, ZA-7701 Rondebosch, South Africa.</t>
  </si>
  <si>
    <t>brian.chase@geog.ox.ac.uk</t>
  </si>
  <si>
    <t>Meadows, Michael E/AAH-2461-2020; Chase, Brian/A-1202-2010</t>
  </si>
  <si>
    <t>Meadows, Michael E/0000-0001-8322-3055; Chase, Brian/0000-0001-6987-1291</t>
  </si>
  <si>
    <t>0012-8252</t>
  </si>
  <si>
    <t>1872-6828</t>
  </si>
  <si>
    <t>EARTH-SCI REV</t>
  </si>
  <si>
    <t>Earth-Sci. Rev.</t>
  </si>
  <si>
    <t>10.1016/j.earscirev.2007.06.002</t>
  </si>
  <si>
    <t>227ZH</t>
  </si>
  <si>
    <t>WOS:000250696100002</t>
  </si>
  <si>
    <t>Bustnes, JO; Tveraa, T; Varpe, O; Henden, JA; Skaare, JU</t>
  </si>
  <si>
    <t>Bustnes, Jan O.; Tveraa, Torkild; Varpe, Oystein; Henden, John A.; Skaare, Janneche U.</t>
  </si>
  <si>
    <t>Reproductive performance and organochlorine pollutants in an Antarctic marine top predator: The south polar skua</t>
  </si>
  <si>
    <t>ENVIRONMENT INTERNATIONAL</t>
  </si>
  <si>
    <t>organochlorines; PCB; DDE; mirex; HCB; principal component analysis; reproduction; southern hemisphere</t>
  </si>
  <si>
    <t>POLYCHLORINATED-BIPHENYLS; CATHARACTA-MACCORMICKI; BLOOD-CONCENTRATIONS; CONTAMINANTS; SUCCESS; BIRDS; GULLS; SEA; PCB; HYDROCARBONS</t>
  </si>
  <si>
    <t>Despite low levels of organochlorine contaminants (OCs) in Antarctic biota, some compounds may exceed the levels in equivalent Arctic species, and previous studies have found biochemical evidence of pollutant exposure in south polar skuas (Catharacta maccormicki), a common marine top predator in the region. In this study we examined relationships between fitness components (fecundity and adult return rate between breeding seasons) and concentrations of OCs in this species. In 65 nests, both males and females were caught, and using principal component analyses (PCA) we produced composite measurements (PC1 and PC2) of six highly correlated OCs measured in blood samples. Although the concentrations of OC were below those documented to have reproductive effects in other aquatic birds, we found that the eggs of females with high levels of OCs in the blood hatched later, and their chicks were in poorer condition at hatching, than females with low OC levels. Thus OCs may delay reproduction and reduce foetal growth in the skuas. However, there was no relationship between the parents' OC residues and the occurrence of non-viable eggs, although the proportion of nests containing non-viable eggs was high (47%). Moreover, there were no significant relationships between OCs and reproductive variables in males, even if males had higher OC levels than females, and no associations between OCs and adult return rate between breeding seasons. (c) 2007 Elsevier Ltd. All rights reserved.</t>
  </si>
  <si>
    <t>Norwegian Inst Nat Res, Polar Environm Ctr, N-9296 Tromso, Norway; Univ Bergen, Dept Biol, N-5020 Bergen, Norway; Univ Tromso, Fac Sci, Dept Biol, N-9037 Tromso, Norway; Natl Vet Inst, N-0033 Oslo, Norway; Norwegian Sch Vet Sci, N-0033 Oslo, Norway</t>
  </si>
  <si>
    <t>Norwegian Institute Nature Research; University of Bergen; UiT The Arctic University of Tromso; Norwegian Veterinary Institute; Norwegian University of Life Sciences</t>
  </si>
  <si>
    <t>Bustnes, JO (corresponding author), Norwegian Inst Nat Res, Polar Environm Ctr, N-9296 Tromso, Norway.</t>
  </si>
  <si>
    <t>Jan.O.Bustnes@nina.no</t>
  </si>
  <si>
    <t>Varpe, Øystein/B-9693-2008</t>
  </si>
  <si>
    <t>Varpe, Øystein/0000-0002-5895-6983; Henden, John-Andre/0000-0002-8825-1167; Tveraa, Torkild/0000-0002-7501-3696</t>
  </si>
  <si>
    <t>0160-4120</t>
  </si>
  <si>
    <t>1873-6750</t>
  </si>
  <si>
    <t>ENVIRON INT</t>
  </si>
  <si>
    <t>Environ. Int.</t>
  </si>
  <si>
    <t>10.1016/j.envint.2007.04.010</t>
  </si>
  <si>
    <t>213OP</t>
  </si>
  <si>
    <t>WOS:000249677300007</t>
  </si>
  <si>
    <t>Compagno, LJV; Ebert, DA</t>
  </si>
  <si>
    <t>Compagno, Leonard J. V.; Ebert, David A.</t>
  </si>
  <si>
    <t>Southern African skate biodiversity and distribution</t>
  </si>
  <si>
    <t>ENVIRONMENTAL BIOLOGY OF FISHES</t>
  </si>
  <si>
    <t>International Symposium on Biology of Skates held in Conjunction with the 22nd Annual Meeting of American-Elasmobranch-Society</t>
  </si>
  <si>
    <t>JUL 13-14, 2006</t>
  </si>
  <si>
    <t>New Orleans, LA</t>
  </si>
  <si>
    <t>Rajidae; bathymetric and geographic distribution; Biodiversity; systematics; zoogeography; Southern Africa</t>
  </si>
  <si>
    <t>WEST-COAST; CHONDRICHTHYES; RAJIDAE; BATOIDEI; SYSTEMATICS; RAJOIDEI</t>
  </si>
  <si>
    <t>The skates (Family Rajidae) have 12 genera and possibly 28 species off southern Africa (southern Angola, Namibia, South Africa and Mozambique). The geographic and bathymetric distribution and the taxonomic composition of the southern African skate fauna are analysed and the distribution mapped. The southern African skate fauna is best known off the temperate west coast of South Africa from the intertidal to approximately 1,200 meters, but poorly known below 1,200 m and sketchily known in warm-temperate and tropical parts of the area. Southern African skates of the temperate continental shelves above 100 m are not diverse and regularly include one species of the genus Dipturus, one species of Leucoraja, two species of Raja (including R. straeleni, the most abundant skate in southern African waters) and the giant skate Rostroraja alba. All of these skates are 'shelf overlap' species that range onto the outer shelves and uppermost slopes, and none are confined to inshore environments. Skate diversity increases on the outer shelves and upper slopes. At least half of the skate species are endemic to the southern African region; other species also occur off East or West Africa, a few extend to European waters, and records of one species, Amblyraja taaf, appear to be of strays from nearby sub-Antarctic seas. The genus Bathyraja and softnose skate group (Arhynchobatinae) are surprisingly limited (a single species) in deep-water off southern Africa (unlike other regions including the Antarctic), and almost all of southern African skates are members of the Rajinae. Amongst rajines, the tribes Amblyrajini (Amblyraja, two species, Leucoraja, two species, and Rajella, five species) Rajini (Dipturus, six species, Okamejei, one species, Raja, two species, and Rostroraja, one species), and Anacanthobatini (Anacanthobatis, two species, and Cruriraja, three species) predominate, while Gurgesiellini has a species of Neoraja and possibly two of Malacoraja.</t>
  </si>
  <si>
    <t>Iziko Museums Cape Town, Shark Res Ctr, ZA-8000 Cape Town, South Africa; Moss Landing Marine Labs, Pacific Shark Res Ctr, Moss Landing, CA USA</t>
  </si>
  <si>
    <t>Compagno, LJV (corresponding author), Iziko Museums Cape Town, Shark Res Ctr, ZA-8000 Cape Town, South Africa.</t>
  </si>
  <si>
    <t>lcompagno@iziko.org.za; debert@mlml.calstate.edu</t>
  </si>
  <si>
    <t>0378-1909</t>
  </si>
  <si>
    <t>ENVIRON BIOL FISH</t>
  </si>
  <si>
    <t>Environ. Biol. Fishes</t>
  </si>
  <si>
    <t>10.1007/s10641-007-9243-4</t>
  </si>
  <si>
    <t>216ZL</t>
  </si>
  <si>
    <t>WOS:000249917600003</t>
  </si>
  <si>
    <t>Williamson, KE; Radosevich, M; Smith, DW; Wommack, KE</t>
  </si>
  <si>
    <t>Williamson, Kurt E.; Radosevich, Mark; Smith, David W.; Wommack, K. Eric</t>
  </si>
  <si>
    <t>Incidence of lysogeny within temperate and extreme soil environments</t>
  </si>
  <si>
    <t>PHAGE-HOST INTERACTIONS; PROPHAGE INDUCTION; POPULATION-DYNAMICS; BACILLUS-SUBTILIS; PSEUDOMONAS-AERUGINOSA; MICROBIAL COMMUNITY; BACTERIOPHAGE PBS1; BACTERIAL-VIRUSES; VIRAL ABUNDANCE; CLAY-MINERALS</t>
  </si>
  <si>
    <t>A companion study indicated that similar to 30% of cultivable soil bacteria may contain inducible prophage; however, the degree to which this cultivation-based estimate applies to autochthonous communities of soil bacteria is unknown. To estimate the prevalence of lysogeny within soil bacterial communities, induction assays were carried out by extracting bacteria from soil and subsequently exposing extracts to mitomycin C (MC; 0.5 mu g ml(-1)), or by exposing bacteria to MC (1.0 mu g ml(-1)) through direct addition to soil slurries. Induction was assessed as an increase in viral direct counts relative to those obtained in controls, as detected by epifluorescence microscopy. Extracting bacteria from soils followed by 18 h MC exposure generated significantly higher prophage induction than all other treatments (P &lt; 0.05). For three Antarctic soil samples, estimates of inducible fraction (IF) were statistically indistinguishable across two independent assays (P = 0.82), indicating that this approach is highly reproducible. Although IF was lower in Antarctic soils (4-20%) and higher in temperate Delaware soils (22-68%), no clear correlations were found between lysogeny and soil physical properties. For Delaware soils, IF estimates were similar between whole soil assays (44%) and cultivation-based approaches (30%). While these data suggest that lysogeny is common among soil bacteria, the specific factors which promote temperate interactions remain unclear.</t>
  </si>
  <si>
    <t>Univ Delaware, Dept Plant &amp; Soil Sci, Newark, DE 19716 USA; Univ Tennessee, Ctr Biomarker Anal, Knoxville, TN 37996 USA; Univ Delaware, Dept Biol Sci, Newark, DE 19716 USA</t>
  </si>
  <si>
    <t>University of Delaware; University of Tennessee System; University of Tennessee Knoxville; UT Institute of Agriculture; University of Delaware</t>
  </si>
  <si>
    <t>Wommack, KE (corresponding author), Univ Delaware, Dept Plant &amp; Soil Sci, Newark, DE 19716 USA.</t>
  </si>
  <si>
    <t>wommack@dbi.udel.edu</t>
  </si>
  <si>
    <t>10.1111/j.1462-2920.2007.01374.x</t>
  </si>
  <si>
    <t>206ZY</t>
  </si>
  <si>
    <t>WOS:000249222600017</t>
  </si>
  <si>
    <t>Yoshitomi, B; Yamaguchi, H</t>
  </si>
  <si>
    <t>Yoshitomi, Bunji; Yamaguchi, Hideaki</t>
  </si>
  <si>
    <t>Chemical composition of dried eyeballs from Euphausia superba and Euphausia pacifica</t>
  </si>
  <si>
    <t>FISHERIES SCIENCE</t>
  </si>
  <si>
    <t>astaxanthin; Euphausia pacifica; Euphausia superba; eyeball; retinol</t>
  </si>
  <si>
    <t>FATTY-ACID-COMPOSITION; ANTARCTIC KRILL; LIPID-CONTENT; ASTAXANTHIN; FLUORIDE; PHOSPHOLIPIDS</t>
  </si>
  <si>
    <t>Dried krill eyeballs were obtained from Euphausia superba and Euphausia pacifica by using a patented industry method and their chemical compositions were examined. Crude protein content was 77.7% and 80.8% of the dry matter of E. superba and E. pacifica, respectively. The dominating amino acids in both krill were glutamic acid, aspartic acid, glycine, arginine, leucine and tyrosine. Crude fat content was 10.9% and 5.4% of dry matter of E. superba and E. pacifica, respectively. The main lipid class of the extracted lipids was phospholipids at 88.5% in E. superba and 96.4% in E. pacifica. The dominating fatty acids in both krill were 22:6 (n-3), 20:5 (n-3), 16:0 and 18:1 (n-9). Astaxanthin (3, 3'-dihydroxy-beta, beta-carotene-4, 4'-dione) content of E. superba and E. pacifica was 566 mg/100 g and 252 mg/100 g of dry matter, respectively. Retinol of E. superba and E. pacifica was 153.0 mg/100 g (510 000 IU/100 g) and 57.6 mg/100 g (192 000 IU/100 g) of dry matter, respectively. The lipophilic extract of E. superba by using n-hexane contained 1923 mg/100 g of astaxanthin at approximately four times higher than the dried eyeballs.</t>
  </si>
  <si>
    <t>Nippon Suisan Kaisha Ltd, Cent Res Lab, Tokyo 1920906, Japan</t>
  </si>
  <si>
    <t>Nippon Suisan Kaisha, Ltd.</t>
  </si>
  <si>
    <t>Yoshitomi, B (corresponding author), Nippon Suisan Kaisha Ltd, Cent Res Lab, 559-6 Kitano Machi Hachioji, Tokyo 1920906, Japan.</t>
  </si>
  <si>
    <t>bunjiy@nissui.co.jp</t>
  </si>
  <si>
    <t>0919-9268</t>
  </si>
  <si>
    <t>1444-2906</t>
  </si>
  <si>
    <t>FISHERIES SCI</t>
  </si>
  <si>
    <t>Fish. Sci.</t>
  </si>
  <si>
    <t>10.1111/j.1444-2906.2007.01451.x</t>
  </si>
  <si>
    <t>218BR</t>
  </si>
  <si>
    <t>WOS:000249991500028</t>
  </si>
  <si>
    <t>Fowler, SL; Costa, DP; Arnould, JPY; Gales, NJ; Burns, JM</t>
  </si>
  <si>
    <t>Fowler, S. L.; Costa, D. P.; Arnould, J. P. Y.; Gales, N. J.; Burns, J. M.</t>
  </si>
  <si>
    <t>Ontogeny of oxygen stores and physiological diving capability in Australian sea lions</t>
  </si>
  <si>
    <t>FUNCTIONAL ECOLOGY</t>
  </si>
  <si>
    <t>cADL; doubly-labelled water; FMR; myoglobin; Neophoca cinerea</t>
  </si>
  <si>
    <t>AEROBIC DIVE LIMIT; DOLPHINS TURSIOPS-TRUNCATUS; FORAGING BEHAVIOR; WEDDELL SEALS; HEART-RATE; PLASMA LACTATE; EMPEROR PENGUINS; METABOLIC-RATES; BLOOD-CHEMISTRY; BREEDING CYCLE</t>
  </si>
  <si>
    <t>For air-breathing animals in aquatic environments, foraging behaviours are often constrained by physiological capability. The development of oxygen stores and the rate at which these stores are used determine juvenile diving and foraging potential. We examined the ontogeny of dive physiology in the threatened Australian sea lion Neophoca cinerea. Australian sea lions exploit benthic habitats; adult females demonstrate high field metabolic rates (FMR), maximize time spent near the benthos, and regularly exceed their calculated aerobic dive limit (cADL). Given larger animals have disproportionately greater diving capabilities; we wanted to determine the extent physiological development constrained diving and foraging in young sea lions. Ten different mother/pup pairs were measured at three developmental stages (6, 15 and 23 months) at Seal Bay Conservation Park, Kangaroo Island, South Australia. Hematocrit (Hct), haemoglobin (Hb) and plasma volume were analyzed to calculate blood O-2 stores and myoglobin was measured to determine muscle O-2. Additionally, FMR's for nine of the juveniles were derived from doubly-labelled water measurements. Australian sea lions have the slowest documented O-2 store development among diving mammals. Although weaning typically occurs by 17.6 months, 23-month juveniles had only developed 68% of adult blood O-2. Muscle O-2 was the slowest to develop and was 60% of adult values at 23 months. We divided available O-2 stores (37.11 +/- 1.49 mL O-2 kg(-1)) by at-sea FMR (15.78 +/- 1.29 mL O-2 min(-1) kg(-1)) to determine a cADL of 2.33 +/- 0.24 min for juvenile Australian sea lions. Like adults, young sea lions regularly exceeded cADL's with 67.8 +/- 2.8% of dives over theoretical limits and a mean dive duration to cADL ratio of 1.23 +/- 0.10. Both dive depth and duration appear impacted by the slow development of oxygen stores. For species that operate close to, or indeed above their estimated physiological maximum, the capacity to increase dive depth, duration or foraging effort would be limited. Due to reduced access to benthic habitat and restricted behavioural options, young benthic foragers, such as Australian sea lions, would be particularly vulnerable to resource limitation.</t>
  </si>
  <si>
    <t>Univ Calif Santa Cruz, Dept Ecol &amp; Evolutionary Biol, Santa Cruz, CA 95060 USA; Deakin Univ, Sch Biol &amp; Chem Sci, Burwood, Vic 3125, Australia; Australian Antarctic Div, Kingston, Tas 7050, Australia; Univ Alaska Anchorage, Dept Biol Sci, Anchorage, AK 99508 USA</t>
  </si>
  <si>
    <t>University of California System; University of California Santa Cruz; Deakin University; Australian Antarctic Division; University of Alaska System; University of Alaska Anchorage</t>
  </si>
  <si>
    <t>Fowler, SL (corresponding author), Univ Calif Santa Cruz, Dept Ecol &amp; Evolutionary Biol, Santa Cruz, CA 95060 USA.</t>
  </si>
  <si>
    <t>fowler@biology.ucsc.edu</t>
  </si>
  <si>
    <t>Burns, Jennifer M/C-4159-2013; Burns, Jennifer/AAC-8243-2019; Carlos, Universidade Federal de São/W-8832-2019; Costa, Daniel Paul/E-2616-2013</t>
  </si>
  <si>
    <t>Burns, Jennifer/0000-0001-9652-2943; Carlos, Universidade Federal de São/0000-0002-0334-3899; Costa, Daniel Paul/0000-0002-0233-5782</t>
  </si>
  <si>
    <t>0269-8463</t>
  </si>
  <si>
    <t>1365-2435</t>
  </si>
  <si>
    <t>FUNCT ECOL</t>
  </si>
  <si>
    <t>Funct. Ecol.</t>
  </si>
  <si>
    <t>10.1111/j.1365-2435.2007.01295.x</t>
  </si>
  <si>
    <t>206DV</t>
  </si>
  <si>
    <t>WOS:000249165000012</t>
  </si>
  <si>
    <t>Zalizovskii, AV; Galushko, VG; Kashcheev, AS; Koloskov, AV; Yampolski, YM; Egorov, IB; Popov, AV</t>
  </si>
  <si>
    <t>Zalizovskii, A. V.; Galushko, V. G.; Kashcheev, A. S.; Koloskov, A. V.; Yampolski, Yu. M.; Egorov, I. B.; Popov, A. V.</t>
  </si>
  <si>
    <t>Doppler selection of HF radiosignals on long paths</t>
  </si>
  <si>
    <t>The long-term registration of the Doppler spectra of HF radiosignals has been performed on the Moscow-Akademik Vernadsky Ukrainian Antarctic station path. It has been revealed that the spectra are split when the solar terminator crosses direct and return radio lines. The spectral and energy characteristics of direct and return signals have been calculated within the scope of the asymptotic theory of long-range propagation of decametric radiowaves.</t>
  </si>
  <si>
    <t>Natl Acad Sci Ukraine RI NANU, Inst Radioastron, UA-61002 Kharkov, Ukraine; Russian Acad Sci IZMIRAN, Pushkov Inst Terr Magnetism Ionosphere &amp; Radiowav, Troitsk 142190, Moscow Oblast, Russia</t>
  </si>
  <si>
    <t>National Academy of Sciences Ukraine; Institute of Radio Astronomy of the National Academy of Sciences of Ukraine; Russian Academy of Sciences; Pushkov Institute of Terrestrial Magnetism, Ionosphere &amp; Radio Wave Propagation</t>
  </si>
  <si>
    <t>Zalizovskii, AV (corresponding author), Natl Acad Sci Ukraine RI NANU, Inst Radioastron, Krasnoznamennaya ul 4, UA-61002 Kharkov, Ukraine.</t>
  </si>
  <si>
    <t>popov@izmiran.ru</t>
  </si>
  <si>
    <t>Koloskov, Oleksandr/ABB-4631-2020; Galushko, Volodymyr G/F-6354-2019; yampolskiy, yuriy m/ABA-8387-2020; Yampolski, Yuri/AAU-3037-2021; Popov, Alexei V./ABC-1719-2021; Zalizovski, Andriy/ABB-4475-2020; Zalizovski, Andriy/HII-4602-2022</t>
  </si>
  <si>
    <t>Koloskov, Oleksandr/0000-0001-8921-3851; Zalizovski, Andriy/0000-0002-6271-0126; Zalizovski, Andriy/0000-0002-6271-0126; Yampolski, Yuri/0000-0002-6142-5753</t>
  </si>
  <si>
    <t>10.1134/S001679320705012X</t>
  </si>
  <si>
    <t>221NT</t>
  </si>
  <si>
    <t>WOS:000250235300012</t>
  </si>
  <si>
    <t>Kim, HR; von Frese, RRB; Taylor, PT; Golynsky, AV; Gaya-Piqué, LR; Ferraccioli, F</t>
  </si>
  <si>
    <t>Kim, Hyung Rae; von Frese, Ralph R. B.; Taylor, Patrick T.; Golynsky, Alexander V.; Gaya-Pique, Luis R.; Ferraccioli, Fausto</t>
  </si>
  <si>
    <t>Improved magnetic anomalies of the Antarctic lithosphere from satellite and near-surface data</t>
  </si>
  <si>
    <t>GEOPHYSICAL JOURNAL INTERNATIONAL</t>
  </si>
  <si>
    <t>ADMAP; Antarctic magnetic anomalies; near-surface surveys; satellite surveys</t>
  </si>
  <si>
    <t>GEOMAGNETIC-FIELD; GRAVITY; GEOLOGY; MODEL</t>
  </si>
  <si>
    <t>The Antarctic magnetic anomaly map compiled marine and airborne surveys collected south of 60 degrees S through 1999 and used Magsat data to help fill in the regional gaps between the surveys. Orsted and CHAMP satellite magnetic observations with greatly improved measurement accuracies and temporal and spatial coverage of the Antarctic, have now supplanted the Magsat data. We combined the new satellite observations with the near-surface survey data for an improved magnetic anomaly map of the Antarctic lithosphere. Specifically, we separated the crustal from the core and external field components in the satellite data using crustal thickness variations estimated from the terrain and the satellite-derived free-air gravity observations. Regional gaps in the near-surface surveys were then filled with predictions from crustal magnetization models that jointly satisfied the near-surface and satellite crustal anomalies. Comparisons in some of the regional gaps that also considered newly acquired aeromagnetic data demonstrated the enhanced anomaly estimation capabilities of the predictions over those from conventional minimum curvature and spherical harmonic geomagnetic field models. We also noted that the growing number of regional and world magnetic survey compilations involve coverage gaps where these procedures can contribute effective near-surface crustal anomaly estimates.</t>
  </si>
  <si>
    <t>UMBC, Goddard Earth Sci &amp; Technol Ctr, Baltimore, MD 21250 USA; NASA, GSFC, Planetary Geodynam Lab, Greenbelt, MD 20771 USA; Ohio State Univ, Sch Earth Sci, Columbus, OH 43210 USA; VNIIOkeangeol, RU-190121 St Petersburg, Russia; CNRS, IPGP, F-75005 Paris, France; British Antarctic Survey, Cambridge CB3 0ET, England</t>
  </si>
  <si>
    <t>National Aeronautics &amp; Space Administration (NASA); NASA Goddard Space Flight Center; University System of Maryland; University of Maryland Baltimore County; National Aeronautics &amp; Space Administration (NASA); NASA Goddard Space Flight Center; University System of Ohio; Ohio State University; Centre National de la Recherche Scientifique (CNRS); Universite Paris Cite; UK Research &amp; Innovation (UKRI); Natural Environment Research Council (NERC); NERC British Antarctic Survey</t>
  </si>
  <si>
    <t>Kim, HR (corresponding author), UMBC, Goddard Earth Sci &amp; Technol Ctr, Baltimore, MD 21250 USA.</t>
  </si>
  <si>
    <t>kimhr@core2.gsfc.nasa.gov</t>
  </si>
  <si>
    <t>Taylor, Patrick T/D-4707-2012</t>
  </si>
  <si>
    <t>Taylor, Patrick T/0000-0002-1212-9384; Ferraccioli, Fausto/0000-0002-9347-4736; Golynsky, Alexander/0000-0003-2546-4082; Kim, Hyung Rae/0000-0002-6576-9457</t>
  </si>
  <si>
    <t>0956-540X</t>
  </si>
  <si>
    <t>1365-246X</t>
  </si>
  <si>
    <t>GEOPHYS J INT</t>
  </si>
  <si>
    <t>Geophys. J. Int.</t>
  </si>
  <si>
    <t>10.1111/j.1365-246X.2007.03516.x</t>
  </si>
  <si>
    <t>219IW</t>
  </si>
  <si>
    <t>WOS:000250079100009</t>
  </si>
  <si>
    <t>Bayer, B; Müller, C; Eaton, DW; Jokat, W</t>
  </si>
  <si>
    <t>Bayer, Bettina; Mueller, Christian; Eaton, David W.; Jokat, Wilfried</t>
  </si>
  <si>
    <t>Seismic anisotropy beneath dronning maud land, antarctica, revealed by shear wave splitting</t>
  </si>
  <si>
    <t>anisotropy; Antarctica; fossil deformation; Precambrian suture; shear wave splitting</t>
  </si>
  <si>
    <t>EAST ANTARCTICA; MANTLE DEFORMATION; LITHOSPHERE; EVOLUTION; AFRICA; OROGEN; MODEL</t>
  </si>
  <si>
    <t>Shear wave splitting analyses have been carried out using teleseismic data from broad-band seismograph stations deployed at temporary and permanent locations in Dronning Maud Land (DML), Antarctica. In most cases, the observed anisotropy can be related to major tectonic events that formed the present-day Antarctic continent. We rule out an anisotropic contribution from recent asthenospheric flow. At the Russian base Novolazarevskaya near the coast in central DML, waveform inversion suggests a two-layer model where the fast direction of the upper layer is oriented parallel to Archean fabrics in the lithosphere, whereas the anisotropy of the lower layer is interpreted to have been created during the Jurassic Gondwana break-up. Recordings at the South African base Sanae IV, however, show enigmatic results. For narrow backazimuthal segments, splitting parameters show strong variations together with a multitude of isotropic measurements, indicative of complex scattering that cannot be explained by simple one- or two-layer anisotropic models. In the interior of the continent, the data are consistent with single-layer anisotropy, but show significant spatial variations in splitting parameters. A set of temporary stations across the Heimefront shear zone in western DML yield splitting directions that we interpret as frozen anisotropy from Proterozoic assembly of the craton. An abrupt change in fast axis direction appears to mark a suture between the Grunehogna craton, a fragment of the Kalahari-Kaapvaal craton in southern Africa and the Mesoproterozoic Maudheim Province.</t>
  </si>
  <si>
    <t>Alfred Wegener Inst Polar &amp; Meeresforschung, D-27568 Bremerhaven, Germany; FIELAX GmbH, Bremerhaven, Germany; Univ Western Ontario, Dept Earth Sci, London, ON N6A 5B7, Canada</t>
  </si>
  <si>
    <t>Helmholtz Association; Alfred Wegener Institute, Helmholtz Centre for Polar &amp; Marine Research; Western University (University of Western Ontario)</t>
  </si>
  <si>
    <t>Bayer, B (corresponding author), Alfred Wegener Inst Polar &amp; Meeresforschung, Am Alten Hafen 26, D-27568 Bremerhaven, Germany.</t>
  </si>
  <si>
    <t>bbyer@awi-bremerhaven.de</t>
  </si>
  <si>
    <t>Eaton, David/AAR-5939-2021</t>
  </si>
  <si>
    <t>Jokat, Wilfried/0000-0002-7793-5854</t>
  </si>
  <si>
    <t>10.1111/j.1365-246X.2007.03519.x</t>
  </si>
  <si>
    <t>WOS:000250079100026</t>
  </si>
  <si>
    <t>Kilian, R; Schneider, C; Koch, J; Fesq-Martin, M; Biester, H; Casassa, G; Arévalo, M; Wendt, G; Baeza, O; Behrmann, J</t>
  </si>
  <si>
    <t>Kilian, Rolf; Schneider, Christoph; Koch, Johannes; Fesq-Martin, Martinus; Biester, Harald; Casassa, Gino; Arevalo, Marcelo; Wendt, Gert; Baeza, Oscar; Behrmann, Jan</t>
  </si>
  <si>
    <t>Palaeoecological constraints on late Glacial and Holocene ice retreat in the Southern Andes (53°S)</t>
  </si>
  <si>
    <t>andes; deglaciation; palaeo-ecology; glacier balance</t>
  </si>
  <si>
    <t>GRAN CAMPO NEVADO; CLIMATE-CHANGE; LAGO-CARDIEL; SEA-ICE; PIO-XI; PATAGONIA; CHRONOLOGY; GREENLAND; HISTORY; OCEAN</t>
  </si>
  <si>
    <t>Late Glacial to Holocene ice retreat was investigated along a 120 km long fjord system, reaching from Gran Campo Nevado (GCN) to Seno Skyring in the southernmost Andes (53 degrees S). The aim was to improve the knowledge on regional and global control on glacier recession with special emphasis on latitudinal shifting of the westerlies. The timing of ice retreat was derived from peat and sediment cores, using mineralogical and chemical characteristics, and pollen as proxies. Stratigraphy was based on C-14-AMS ages and tephrochronology. The ice retreat of the Seno Skyring Glacier lobe is marked by an ice rafted debris layer which was formed around 18,300 to 17,500 cal. yr B.P. Subsequently, fast glacier retreat occurred until around 15,000 to 14,000 cal. yr B.P. during which around 84% of Skyring Glacier were lost. This fast recession was probably also triggered by an increase of the Equilibrium Line Altitude (ELA) from 200 to 300 m. Subsequently, the ice surface was lowered below the ELA in an area that previously made up more than 50% of the accumulation area. Much slower retreat and glacier fluctuations of limited extent in the fjord channel system northeast of GCN occurred between around 14,000 to 11,000 cal. yr B.P. during both the Antarctic Cold Reversal and the Younger Dryas. This slow down of retreat indicates a decline in the general warming trend and/or increased precipitation, due to a southward migration of the westerlies. After around 11,000 cal. yr B.P. pollen distribution shows evolved Magellanic Rainforest and similar climate as at present, which lasted throughout most of the Holocene. Only Late Neoglacial moraine systems were formed in the period 1220-1460 AD, and subsequently in the 1620s AD, and between 1870 and 19 10 AD. The results indicate that the Gran Campo Nevado ice cap has reacted more sensitive and partly distinct to climate change, compared to the Patagonian Ice Field. (C) 2006 Elsevier B.V. All rights reserved.</t>
  </si>
  <si>
    <t>Univ Trier, Fachbereich Geowissensch 6, Lehrstuhl Geol, D-54286 Trier, Germany; Rhein Westfal TH Aachen, D-52056 Aachen, Germany; Simon Fraser Univ, Dept Earth Sci, Burnaby, BC V5A 1S6, Canada; Heidelberg Univ, Inst Umweltgeochem, INF 236, D-69120 Heidelberg, Germany; Ctr Estudios Cient, Valdivia, Chile; Univ Magallanes, Dept Antarctic, Punta Arenas, Chile; Univ Rostock, Inst Nachrichtentech &amp; Informat Selektron, D-18119 Rostock, Germany; IFM GEOMAR, Marine Geodynam, D-24148 Kiel, Germany</t>
  </si>
  <si>
    <t>Universitat Trier; RWTH Aachen University; Simon Fraser University; Ruprecht Karls University Heidelberg; Universidad de Magallanes; University of Rostock; Helmholtz Association; GEOMAR Helmholtz Center for Ocean Research Kiel</t>
  </si>
  <si>
    <t>Kilian, R (corresponding author), Univ Trier, Fachbereich Geowissensch 6, Lehrstuhl Geol, D-54286 Trier, Germany.</t>
  </si>
  <si>
    <t>kilian@uni-trier.de</t>
  </si>
  <si>
    <t>Casassa, Gino/AAX-6142-2020; Schneider, Christoph/V-2150-2017</t>
  </si>
  <si>
    <t>Schneider, Christoph/0000-0002-9914-3217</t>
  </si>
  <si>
    <t>10.1016/j.gloplacha.2006.11.034</t>
  </si>
  <si>
    <t>232JR</t>
  </si>
  <si>
    <t>WOS:000251015900006</t>
  </si>
  <si>
    <t>Fitzharris, BB; Clare, GR; Renwick, J</t>
  </si>
  <si>
    <t>Fitzharris, B. Blair; Clare, Gareth R.; Renwick, Jim</t>
  </si>
  <si>
    <t>Teleconnections between Andean and New Zealand glaciers</t>
  </si>
  <si>
    <t>glacier retreat and advance; Southern Hemisphere teleconnections; atmospheric circulation; sea surface temperatures; Andes; New Zealand</t>
  </si>
  <si>
    <t>SOUTHERN PATAGONIA ICEFIELD; SEA-SURFACE TEMPERATURE; CLIMATE-CHANGE; ATMOSPHERIC CIRCULATION; MASS-BALANCE; EXTRATROPICAL CIRCULATION; JOSEF,FRANZ GLACIER; ANTARCTIC PENINSULA; TROPICAL CLIMATE; ANNULAR MODES</t>
  </si>
  <si>
    <t>Retreat and advance of glaciers in the Southern Alps of New Zealand have occurred over two distinct 20-yr climate periods (1954-1974) and (1974-1994). Changes in tropical and southern Andean glaciers are compared over these same periods. Behaviour of glaciers in the tropical Andes are out of phase with the Southern Alps glaciers, but some glaciers in Patagonia appear to be in phase. Southern Hemisphere atmospheric circulation using 700 hPa geopotential height anomalies and sea surface temperature patterns are examined for these periods. Glacier response on inter-decadal timescales is linked with distinctive shifts in atmospheric circulation patterns around the Southern Hemisphere. Retreat (advance) of glaciers in the Southern Alps and southern Andean glacier and advance (retreat) of glaciers in the tropical Andes are all associated with weaker (stronger) westerlies, blocking events in the South-east Pacific, negative (positive) geopotential height anomalies over Southern Africa and higher latitudes of the Southern Hemisphere. These glacier changes are also linked with the negative (positive) phase of the Inter-decadal Pacific Oscillation, a higher frequency of La Nina (El Nino) events, and warm (cool) sea surface temperatures in the New Zealand region and cool (warm) sea surface temperatures in the equatorial eastern region of the Pacific Ocean off the coast of Peru. (C) 2006 Elsevier B.V. All rights reserved.</t>
  </si>
  <si>
    <t>Univ Otago, Dept Geog, Dunedin, New Zealand; Natl Inst Water &amp; Atmospher Res, Wellington, New Zealand</t>
  </si>
  <si>
    <t>University of Otago; National Institute of Water &amp; Atmospheric Research (NIWA) - New Zealand</t>
  </si>
  <si>
    <t>Fitzharris, BB (corresponding author), Univ Otago, Dept Geog, POB 56, Dunedin, New Zealand.</t>
  </si>
  <si>
    <t>bbf@geography.otago.ac.nz</t>
  </si>
  <si>
    <t>Renwick, James/0000-0002-9141-2486</t>
  </si>
  <si>
    <t>10.1016/j.gloplacha.2006.11.022</t>
  </si>
  <si>
    <t>WOS:000251015900015</t>
  </si>
  <si>
    <t>Thomas, RH</t>
  </si>
  <si>
    <t>Thomas, Robert H.</t>
  </si>
  <si>
    <t>Tide-induced perturbations of glacier velocities</t>
  </si>
  <si>
    <t>glacier; ice shelf; force model; tide; ice velocities</t>
  </si>
  <si>
    <t>ICE STREAM; ALASKA; SPEED</t>
  </si>
  <si>
    <t>Recent observations showing substantial diurnal changes in velocities of glaciers flowing into the ocean, measured at locations far inland of glacier grounding lines, add fuel to the ongoing debate concerning the ability of glaciers to transmit longitudinal-stress perturbations over large distances. Resolution of this debate has major implications for the prediction of glacier mass balance, because it determines how rapidly a glacier can respond dynamically to changes such as weakening or removal of an ice shelf Current IPCC assessment of sea-level rise takes little account of such changes, on the assumption that dynamic responses would be too slow to have any appreciable effect on ice discharge fluxes. However, this assumption must be questioned in view of observations showing massive increases in glacier velocities following removal of parts of the Larsen Ice Shelf, Antarctica, and of others showing diurnal velocity changes apparently linked to the tides. Here, I use a simple force-perturbation model to calculate the response of glacier strain rates to tidal rise and fall, assuming associated longitudinal-force perturbations are transmitted swiftly far inland of the glacier grounding line. Results show reasonable agreement with observations from an Alaskan glacier, where the velocity changes extended only a short distance up-glacier. However, for larger Antarctic glaciers, big velocity changes extending far upstream cannot be explained by this mechanism, unless ice-shelf back forces change substantially with the tides. Additional insight will require continuous measurement of velocity and strain-rate profiles along flow lines of glaciers and ice shelves. An example is suggested, involving continuous GPS measurements at a series of locations along the centre line of Glaciar San Rafael, Chile, extending from near the calving front to perhaps 20 km inland. Tidal range here is about +/- 0.8 m, which should be sufficient to cause a variation in ice-front velocity of +/- 2 cm h(-1) about its average value of 75 cm h(-1), assuming local seawater depth of 150 m and glacier thickness of 200-400 m. (C) 2006 Elsevier B.V. All rights reserved.</t>
  </si>
  <si>
    <t>NASA, Wallops Flight Facil, EG&amp;G Serv, Wallops Isl, VA 23337 USA; Ctr Estudios Cient, Valdivia, Chile</t>
  </si>
  <si>
    <t>National Aeronautics &amp; Space Administration (NASA); NASA Goddard Space Flight Center; Wallops Flight Facility</t>
  </si>
  <si>
    <t>Thomas, RH (corresponding author), NASA, Wallops Flight Facil, EG&amp;G Serv, Bldg N-159, Wallops Isl, VA 23337 USA.</t>
  </si>
  <si>
    <t>thomas@osb.wff.nasa.gov</t>
  </si>
  <si>
    <t>10.1016/j.gloplacha.2006.11.017</t>
  </si>
  <si>
    <t>WOS:000251015900019</t>
  </si>
  <si>
    <t>Yoshida, M</t>
  </si>
  <si>
    <t>Yoshida, Masaru</t>
  </si>
  <si>
    <t>Geochronological data evaluation: Implications for the Proterozoic tectonics of East Gondwana</t>
  </si>
  <si>
    <t>International Conference on Precambrian Continental Growth and Tectonism</t>
  </si>
  <si>
    <t>FEB 22-27, 2005</t>
  </si>
  <si>
    <t>Jhansi, INDIA</t>
  </si>
  <si>
    <t>zircon geochronology; age rejuvenation; East Antarctica; East Gondwana; Circum-East Antarctic Orogen; Pan-African Orogeny</t>
  </si>
  <si>
    <t>PRINCE CHARLES MOUNTAINS; ND ISOTOPIC COMPOSITIONS; CAMBRIAN OROGENIC BELT; U-PB SYSTEMATICS; LARSEMANN HILLS; RAYNER COMPLEX; PRYDZ-BAY; SRI-LANKA; ANTARCTICA; ZIRCON</t>
  </si>
  <si>
    <t>Geochronologic data and arguments proposing the division of the pre-Pan-African terranes of East Antarctica (Grenvillian Circum-East Antarctic Orogen) into three genetically different provinces, and the recognition of the Pan-African orogens as sutures are discussed. Problems of zircon U-Pb dating for identifying the absence of precursor Grenvillian events, which are superimposed and concealed by the dominant Pan-African event, are specifically highlighted. Major problems are (i) the lowering of closure temperatures under deformational and/or fluid-rich conditions, (ii) the weighted mean U-Pb concordant ages, (iii) the disappearance of an earlier discordia in the polymetamorphism, (iv) diversity in the interpretation of zonal structure of zircons, (v) general lack of discussion on the formative process of the dated zircons and (vi) the practical difficulty in zircon geochronology for providing evidence of the absence of earlier events superposed by a later high-grade event. It is stressed that it is difficult for zircon geochronology to provide robust evidence for eliminating the possibility of the existence of earlier tectonothermal events superimposed by later high-grade events. The presence of Grenvillian-age basement within the Pan-African terranes and the former linkage of now-separated Grenvillian age belts in East Antarctica cannot therefore be excluded from U-Pb zircon evidence alone. (C) 2006 International Association for Gondwana Research. Published by Elsevier B.V. All rights reserved.</t>
  </si>
  <si>
    <t>Gondwana Inst Geol &amp; Environm, Hashimoto 6480091, Japan</t>
  </si>
  <si>
    <t>Yoshida, M (corresponding author), Gondwana Inst Geol &amp; Environm, Hashimoto 6480091, Japan.</t>
  </si>
  <si>
    <t>gondwana@gaia.eonet.ne.jp</t>
  </si>
  <si>
    <t>10.1016/j.gr.2006.10.013</t>
  </si>
  <si>
    <t>217PR</t>
  </si>
  <si>
    <t>WOS:000249960300003</t>
  </si>
  <si>
    <t>Rey, AR; Trathan, P; Schiavini, A</t>
  </si>
  <si>
    <t>Rey, Andrea Raya; Trathan, Phil; Schiavini, Adrian</t>
  </si>
  <si>
    <t>Inter-annual variation in provisioning behaviour of Southern Rockhopper Penguins Eudyptes chrysocome chrysocome at Staten Island, Argentina</t>
  </si>
  <si>
    <t>MACARONI PENGUINS; MACQUARIE ISLAND; BREEDING BIOLOGY; DIVING BEHAVIOR; DIET; CHRYSOLOPHUS; FILHOLI; GEORGIA</t>
  </si>
  <si>
    <t>Understanding the relationship between reproductive performance and food availability requires knowledge about many different variables, including such factors as the length of incubation shifts, provisioning rates and patterns, as well as how variability in these factors affects reproductive output. To examine some of the most important aspects of parental investment, we studied the provisioning behaviour and patterns of adult Southern Rockhopper Penguins Eudyptes chrysocome chrysocome breeding at Staten Island, Argentina. We investigated foraging trip duration, provisioning rates and chick survival using adult foraging patterns. Our results show that Rockhopper Penguins had clear sex-specific differences in their provisioning behaviour. Females provision chicks throughout chick rearing. By contrast, males provision chicks only during the creche stage and at a slightly lower rate than females during this period. Foraging trips increased in length as the breeding season progressed. Rockhopper Penguins from Staten Island performed longer trips throughout the breeding season than do other species of Eudyptes at several other locations. Our results also show differences in parental investment between years that were related to differences in chick survival. We suggest that this was most likely to be related to female rather than male foraging behaviour as only females showed inter-annual differences in their provisioning rates.</t>
  </si>
  <si>
    <t>Ctr Austral Invest Cient, Consejo Nacl Invest Cient &amp; Tecn, Ushuaia, Tierra Fuego, Argentina; British Antarctic Survey, NERC, Cambridge CB3 0ET, England</t>
  </si>
  <si>
    <t>Consejo Nacional de Investigaciones Cientificas y Tecnicas (CONICET); UK Research &amp; Innovation (UKRI); Natural Environment Research Council (NERC); NERC British Antarctic Survey</t>
  </si>
  <si>
    <t>Rey, AR (corresponding author), Ctr Austral Invest Cient, Consejo Nacl Invest Cient &amp; Tecn, Bernardo Houssay 200,V9410BFD, Ushuaia, Tierra Fuego, Argentina.</t>
  </si>
  <si>
    <t>arayarey@speedy.com.ar</t>
  </si>
  <si>
    <t>Schiavini, Adrian Carlos Miguel/0000-0001-6621-4827; Raya Rey, Andrea/0000-0003-0127-6650</t>
  </si>
  <si>
    <t>218JM</t>
  </si>
  <si>
    <t>WOS:000250011800016</t>
  </si>
  <si>
    <t>Donner, R; Witt, A</t>
  </si>
  <si>
    <t>Donner, Reik; Witt, Annette</t>
  </si>
  <si>
    <t>Temporary dimensions of multivariate data from paleoclimate records - A novel measure for dynamic characterization of long-term climate change</t>
  </si>
  <si>
    <t>INTERNATIONAL JOURNAL OF BIFURCATION AND CHAOS</t>
  </si>
  <si>
    <t>13th Conference on Nonlinear Dynamics of Electronic Systems</t>
  </si>
  <si>
    <t>SEP 18-22, 2005</t>
  </si>
  <si>
    <t>multivariate data analysis; fractal dimension; climate change</t>
  </si>
  <si>
    <t>CHAOS</t>
  </si>
  <si>
    <t>Standard techniques of nonlinear data analysis are difficult to apply to short or insufficiently resolved multivariate time series. We demonstrate that dimension estimation based on the decay of eigenvalues of the covariance matrix yields qualitatively robust characteristics even in the case of very short measurement series. The uncertainty of these characteristics is discussed for both: synthetic data sets and measurement data. We apply this approach to measurements of trace element abundances in a marine sediment core obtained at the East Antarctic coast and discuss the results from a paleoclimate point of view.</t>
  </si>
  <si>
    <t>[Witt, Annette] Kings Coll London, Dept Geog, London WC2R 2LS, England; [Donner, Reik] Univ Potsdam, Nonlinear Dynam Grp, D-14469 Potsdam, Germany</t>
  </si>
  <si>
    <t>University of London; King's College London; University of Potsdam</t>
  </si>
  <si>
    <t>Witt, A (corresponding author), Kings Coll London, Dept Geog, London WC2R 2LS, England.</t>
  </si>
  <si>
    <t>reik@agnld.uni-potsdam.de</t>
  </si>
  <si>
    <t>Witt, Annette/HPC-6549-2023; Donner, Reik V./F-4400-2017</t>
  </si>
  <si>
    <t>Donner, Reik V./0000-0001-7023-6375</t>
  </si>
  <si>
    <t>5 TOH TUCK LINK, SINGAPORE 596224, SINGAPORE</t>
  </si>
  <si>
    <t>0218-1274</t>
  </si>
  <si>
    <t>1793-6551</t>
  </si>
  <si>
    <t>INT J BIFURCAT CHAOS</t>
  </si>
  <si>
    <t>Int. J. Bifurcation Chaos</t>
  </si>
  <si>
    <t>10.1142/S0218127407019573</t>
  </si>
  <si>
    <t>Mathematics, Interdisciplinary Applications; Multidisciplinary Sciences</t>
  </si>
  <si>
    <t>Mathematics; Science &amp; Technology - Other Topics</t>
  </si>
  <si>
    <t>264KF</t>
  </si>
  <si>
    <t>WOS:000253285500051</t>
  </si>
  <si>
    <t>Tamura, T; Ohshima, KI; Markus, T; Cavalieri, DJ; Nihashi, S; Hirasawa, N</t>
  </si>
  <si>
    <t>Tamura, Takeshi; Ohshima, Kay I.; Markus, Thorsten; Cavalieri, Donald J.; Nihashi, Sohey; Hirasawa, Naohiko</t>
  </si>
  <si>
    <t>Estimation of thin ice thickness and detection of fast ice from SSM/I data in the Antarctic Ocean</t>
  </si>
  <si>
    <t>SEA-ICE; COASTAL POLYNYAS; WEDDELL SEA</t>
  </si>
  <si>
    <t>Antarctic coastal polynyas are important areas of high sea ice production and dense water formation, and thus their detection including an estimate of thin ice thickness is essential. In this paper, the authors propose an algorithm that estimates thin ice thickness and detects fast ice using Defense Meteorological Satellite Program (DMSP) Special Sensor Microwave Imager (SSM/I) data in the Antarctic Ocean. Detection and estimation of sea ice thicknesses of &lt;0.2 m are based on the SSM/I 85- and 37-GHz polarization ratios (PR85 and PR37) through a comparison with sea ice thicknesses estimated from the Advanced Very High Resolution Radiometer (AVHRR) data. The exclusion of data affected by atmospheric water vapor is discussed. Because thin ice and fast ice (specifically ice shelves, glacier tongues, icebergs, and landfast ice) have similar PR signatures, a scheme was developed to separate these two surface types before the application of the thin ice algorithm to coastal polynyas. The probability that the algorithm correctly distinguishes thin ice from thick ice and from fast ice is similar to 95%, relative to the ice thicknesses estimated from AVHRR. Although the standard deviation of the difference between the thin ice thicknesses estimated from the SSM/I algorithm and AVHRR is similar to 0.05 m and thus not small, the estimated ice thicknesses from the microwave algorithm appear to have small biases and the accuracies are independent of region and season. A distribution map of thin ice occurrences derived from the SSM/I algorithm represents the Ross Sea coastal polynya being by far the largest among the Antarctic coastal polynyas; the Weddell Sea coastal polynyas are much smaller. Along the coast of East Antarctica, coastal polynyas frequently form on the western side of peninsulas and glacier tongues, downstream of the Antarctic Coastal Current.</t>
  </si>
  <si>
    <t>Hokkaido Univ, Grad Sch Environm Earth Sci, Sapporo, Hokkaido 060, Japan; Hokkaido Univ, Inst Low Temp Sci, Sapporo, Hokkaido 060, Japan; NASA, Goddard Space Flight Ctr, Hydrospher &amp; Biospher Sci Lab, Greenbelt, MD 20771 USA; Natl Inst Polar Res, Tokyo 173, Japan</t>
  </si>
  <si>
    <t>Hokkaido University; Hokkaido University; National Aeronautics &amp; Space Administration (NASA); NASA Goddard Space Flight Center; Research Organization of Information &amp; Systems (ROIS); National Institute of Polar Research (NIPR) - Japan</t>
  </si>
  <si>
    <t>Tamura, T (corresponding author), Hokkaido Univ, Inst Low Temp Sci, Kita Ku, N19W8, Sapporo, Hokkaido 0600819, Japan.</t>
  </si>
  <si>
    <t>tamutake@lowtem.hokudai.ac.jp</t>
  </si>
  <si>
    <t>Ohshima, Kay I/D-6909-2012; Markus, Thorsten/D-5365-2012</t>
  </si>
  <si>
    <t>10.1175/JTECH2113.1</t>
  </si>
  <si>
    <t>218HG</t>
  </si>
  <si>
    <t>WOS:000250006000006</t>
  </si>
  <si>
    <t>Zolotukhina, N; Pilipenko, V; Engebretson, MJ; Rodger, AS</t>
  </si>
  <si>
    <t>Zolotukhina, N.; Pilipenko, V.; Engebretson, M. J.; Rodger, A. S.</t>
  </si>
  <si>
    <t>Response of the inner and outer magnetosphere to solar wind density fluctuations during the recovery phase of a moderate magnetic storm</t>
  </si>
  <si>
    <t>General Assembly of the European-Geosciences-Union</t>
  </si>
  <si>
    <t>APR 02-07, 2006</t>
  </si>
  <si>
    <t>Vienna, AUSTRIA</t>
  </si>
  <si>
    <t>solar-terrestrial relationships; magnetosphere compression; ULF waves; ion-cyclotron instability; magnetic storms</t>
  </si>
  <si>
    <t>ION-CYCLOTRON WAVES; EQUATORIAL MAGNETOSPHERE; HYDROMAGNETIC-WAVES; DUCT PROPAGATION; UPPER IONOSPHERE; PULSATIONS; SUDDEN; MICROPULSATION; PARTICLES</t>
  </si>
  <si>
    <t>We examine the geomagnetic field and space plasma disturbances developing simultaneously in the solar wind, in the inner and outer magnetosphere, and on the ground from 0730 to 2030 UT on April 11, 1997 during the recovery phase of a moderate magnetic storm. The fluctuations of the solar wind density, H-component of the geomagnetic field, and power of Pcl-2 (0.1-5 Hz) waves at middle and low latitudes evolve nearly simultaneously. These fluctuations also match very well with variations of density and flux of the magnetospheric plasma at the geosynchronous orbit, and of the geomagnetic field at the geosynchronous orbit and northern polar cap. The time delay between the occurrence of disturbances in different magnetosphere regions matches the time of fast mode propagation. These disturbances are accompanied by the generation of Pcl-2 waves at mid- and high-latitude observatories in nearly the same frequency range. A scenario of the evolution of wave phenomena in different magnetospheric domains is proposed. (C) 2007 Elsevier Ltd. All rights reserved.</t>
  </si>
  <si>
    <t>Inst Solar Terr Phys, Irkutsk 664033, Russia; Moscow Phys Earth Inst, Moscow 123810, Russia; Augsburg Coll, Minneapolis, MN USA; British Antarctic Survey, Cambridge CB3 0ET, England</t>
  </si>
  <si>
    <t>Irkutsk Science Centre of the Russian Academy of Sciences; Russian Academy of Sciences; Institute of Solar-Terrestrial Physics of the Siberian Branch of the Russian Academy of Sciences; Russian Academy of Sciences; Schmidt Institute of Physics of the Earth of the Russian Academy of Sciences; Augsburg University; UK Research &amp; Innovation (UKRI); Natural Environment Research Council (NERC); NERC British Antarctic Survey</t>
  </si>
  <si>
    <t>Zolotukhina, N (corresponding author), Inst Solar Terr Phys, POB 4026, Irkutsk 664033, Russia.</t>
  </si>
  <si>
    <t>zolot@iszf.irk.ru</t>
  </si>
  <si>
    <t>Zolotukhina, Nina/0000-0002-7691-6168</t>
  </si>
  <si>
    <t>10.1016/j.jastp.2007.02.011</t>
  </si>
  <si>
    <t>227DT</t>
  </si>
  <si>
    <t>WOS:000250638100013</t>
  </si>
  <si>
    <t>Moreira-Muñoz, A</t>
  </si>
  <si>
    <t>Moreira-Munoz, A.</t>
  </si>
  <si>
    <t>The Austral floristic realm revisited</t>
  </si>
  <si>
    <t>Antarctica; Australasia; biogeographical classification; Cape Floristic Region; Chile; floristic kingdom; New Zealand; panbiogeography; South pacific track; southern South America</t>
  </si>
  <si>
    <t>NEW-ZEALAND; BIOGEOGRAPHICAL REGIONS; VICARIANCE BIOGEOGRAPHY; TERRANE TECTONICS; EARLY TERTIARY; PACIFIC; DISPERSAL; EVOLUTION; FLORA; ANTARCTICA</t>
  </si>
  <si>
    <t>The classification of the Earth's flora into floristic regions has been the major goal of plant geography since the 19th century. A detailed revision of 19th and 20th century classifications is presented herein, with particular emphasis on the delimitation of the Austral floristic realm. A comparison between Chile, New Zealand, and the Cape Floristic Region is made at the genus level. Using the vascular flora of these biogeographical regions, the analysis revises previous attempts to define the Austral realm, while also assessing differences made by changes in taxonomic delimitations from recent molecular phylogenetic studies. The results indicate that the Austral floristic realm can nowadays be better described as a circum-Antarctic generalized track, composed of some 60 genera and 15 families restricted to South America and Australasia, possibly including South Africa.</t>
  </si>
  <si>
    <t>Univ Erlangen Nurnberg, Inst Geog, D-91054 Erlangen, Germany</t>
  </si>
  <si>
    <t>University of Erlangen Nuremberg</t>
  </si>
  <si>
    <t>Moreira-Muñoz, A (corresponding author), Pontificia Univ Catolica Chile, Inst Geog, Av Vicuna Mackenna 4860, Santiago, Chile.</t>
  </si>
  <si>
    <t>amoreira@geo.puc.cl</t>
  </si>
  <si>
    <t>Moreira-Munoz, Andres/0000-0002-9136-1391</t>
  </si>
  <si>
    <t>10.1111/j.1365-2699.2007.01757.x</t>
  </si>
  <si>
    <t>213JO</t>
  </si>
  <si>
    <t>WOS:000249663300001</t>
  </si>
  <si>
    <t>Smith, HG; Wilkinson, DM</t>
  </si>
  <si>
    <t>Smith, Humphrey G.; Wilkinson, David M.</t>
  </si>
  <si>
    <t>Not all free-living microorganisms have cosmopolitan distributions -: the case of Nebela (Apodera) vas Certes (Protozoa: Amoebozoa: Arcellinida)</t>
  </si>
  <si>
    <t>agents of dispersal; global distribution; lacunae in distribution; microbial biogeography; Nebela vas; testate amoebae</t>
  </si>
  <si>
    <t>TESTATE AMEBAS PROTOZOA; DWELLING TESTACEAN FAUNA; SOUTHERN TEMPERATE; GENUS NEBELA; BIOGEOGRAPHY; DIVERSITY; RHIZOPODA; DISPERSAL; ISLANDS; YUNNAN</t>
  </si>
  <si>
    <t>Aim To review and critically assess the evidence that the testate amoeba species Nebela vas does not have a cosmopolitan distribution, in contradiction to the paradigm of microbial distribution that 'everything is everywhere'. Location Terrestrial and wetland habitats world-wide. Methods Relevant data were assembled on the morphology, ecology and global geographical distribution of N. vas from a comprehensive literature review of published original records. The data were collated, analysed and summarized. The roles of long-term and short-term agents of dispersal are discussed. Results A clear and repeated pattern has been elucidated of a microbial species, with a distinctive and unmistakeable morphology, that inhabits acid, damp terrestrial and wetland habitats in the southern cool-temperate and sub-Antarctic zones - including similar high-altitude habitats in the Tropics. It is almost entirely confined to the Gondwanaland continents and Southern Hemisphere islands. It is definitively absent from Holarctic regions. It is proposed that the continental distribution of N. vas is a consequence of continental drift following its original speciation in the Mesozoic or earlier, whereas its distribution on sub-Antarctic islands (glaciated in the Pleistocene) has been effected by dispersal from South America by wind around the Southern Ocean. Main conclusion Nebela vas is a proven instance of a microbial species that does not have a cosmopolitan distribution.</t>
  </si>
  <si>
    <t>Coventry Univ, Coventry CV1 5FB, W Midlands, England; Liverpool John Moores Univ, Liverpool L3 3AF, Merseyside, England</t>
  </si>
  <si>
    <t>Coventry University; Liverpool John Moores University</t>
  </si>
  <si>
    <t>Smith, HG (corresponding author), Coventry Univ, James Starley Bldg, Coventry CV1 5FB, W Midlands, England.</t>
  </si>
  <si>
    <t>apx191@cov.ac.uk</t>
  </si>
  <si>
    <t>10.1111/j.1365-2699.2007.01733.x</t>
  </si>
  <si>
    <t>WOS:000249663300014</t>
  </si>
  <si>
    <t>Wylie, D; Eloranta, E; Spinhirne, JD; Palm, SP</t>
  </si>
  <si>
    <t>Wylie, Donald; Eloranta, Edwin; Spinhirne, James D.; Palm, Steven P.</t>
  </si>
  <si>
    <t>Comparison of cloud cover statistics from the GLAS lidar with HIRS</t>
  </si>
  <si>
    <t>HIGH-LEVEL CLOUDS; STRATOSPHERIC AEROSOL; SAGE-II; CLIMATOLOGIES; FREQUENCY; DATASET</t>
  </si>
  <si>
    <t>The cloud dataset from the Geoscience Laser Altimeter System ( GLAS) lidar on the Ice, Cloud, and Land Elevation Satellite ( ICESat) spacecraft is compared to the cloud analysis of the Wisconsin NOAA High Resolution Infrared Radiation Sounder ( HIRS) Pathfinder. This is the first global lidar dataset from a spacecraft of extended duration that can be compared to the HIRS climatology. It provides an excellent source of cloud information because it is more sensitive to clouds that are difficult to detect, namely, thin cirrus and small boundary layer clouds. The second GLAS data collection period from 1 October to 16 November 2003 was used for this comparison, and a companion dataset of the same days were analyzed with HIRS. GLAS reported cloud cover of 0.70 while HIRS reported slightly higher cloud cover of 0.75 for this period. The locations where HIRS overreported cloud cover were mainly in the Arctic and Antarctic Oceans and parts of the Tropics. GLAS also confirms that upper- tropospheric clouds ( above 6.6 km) cover about 0.33 of the earth, similar to the reports from HIRS data. Generally, the altitude of the cloud tops reported by GLAS is, on average, higher than HIRS by 0.4 to 4.5 km. The largest differences were found in the Tropics, over 4 km, while in midlatitudes average differences ranged from 0.4 to 2 km. Part of this difference in averaged cloud heights comes from GLAS finding more high cloud coverage in the Tropics, 5% on average but &gt; 13% in some areas, which weights its cloud top average more toward the high clouds than the HIRS. The diffuse character of the upper parts of high clouds over tropical oceans is also a cause for the difference in reported cloud heights. Statistics on cloud sizes also were computed from GLAS data to estimate the errors in cloud cover reported by HIRS from its 20- km field- of- view ( FOV) size. Smaller clouds are very common with one- half of all clouds being &lt; 41 km in horizontal size. But, clouds &lt; 41 km cover only 5% of the earth. Cloud coverage is dominated by larger clouds with one- half of the coverage coming from clouds &gt; 1000 km. GLAS cloud size statistics also show that HIRS possibly overreports some cloud forms by 2% - 3%. Looking at groups of GLAS data 21 km long to simulate the HIRS FOV, the authors found that similar to 5% are partially filled with cloud. Since HIRS does not account for the part of the FOV without cloud, it will overreport the coverage of these clouds. However, low- altitude and optically thin clouds will not be reported by HIRS if they are so small that they do not affect the upwelling radiation in the HIRS FOV enough to trigger the threshold for cloud detection. These errors are partially offing.</t>
  </si>
  <si>
    <t>Univ Wisconsin, Ctr Space Sci &amp; Engn, Madison, WI 53706 USA; NASA, Goddard Space Flight Ctr, Greenbelt, MD 20771 USA</t>
  </si>
  <si>
    <t>University of Wisconsin System; University of Wisconsin Madison; National Aeronautics &amp; Space Administration (NASA); NASA Goddard Space Flight Center</t>
  </si>
  <si>
    <t>Wylie, D (corresponding author), Univ Wisconsin, Ctr Space Sci &amp; Engn, 1225 W Dayton St, Madison, WI 53706 USA.</t>
  </si>
  <si>
    <t>don.wylie@ssec.wisc.edu</t>
  </si>
  <si>
    <t>Spinhirne, James D/D-2541-2011</t>
  </si>
  <si>
    <t>10.1175/JCLI4269.1</t>
  </si>
  <si>
    <t>219ST</t>
  </si>
  <si>
    <t>WOS:000250105800011</t>
  </si>
  <si>
    <t>Heise, K; Estevez, MS; Puntarulo, S; Galleano, M; Nikinmaa, M; Pörtner, HO; Abele, D</t>
  </si>
  <si>
    <t>Heise, K.; Estevez, M. S.; Puntarulo, S.; Galleano, M.; Nikinmaa, M.; Poertner, H. O.; Abele, D.</t>
  </si>
  <si>
    <t>Effects of seasonal and latitudinal cold on oxidative stress parameters and activation of hypoxia inducible factor (HIF-1) in zoarcid fish</t>
  </si>
  <si>
    <t>North Sea eelpout; polar eelpout; HIF-1; oxidative stress; glutathione</t>
  </si>
  <si>
    <t>FACTOR-I HIF-1; REGULATES HIF-1-ALPHA; REDOX STATE; DNA-BINDING; TEMPERATE; GLUTATHIONE; POLAR; INHIBITION; LIVER; CARP</t>
  </si>
  <si>
    <t>Acute, short term cooling of North Sea eelpout Zoarces viviparus is associated with a reduction of tissue redox state and activation of hypoxia inducible factor (HIF-1) in the liver. The present study explores the response of HIF-1 to seasonal cold in Zoarces viviparus, and to latitudinal cold by comparing the eurythermal North Sea fish to stenothermal Antarctic eelpout (Pachycara brachycephalum). Hypoxic signalling (HIF-1 DNA binding activity) was studied in liver of summer and winter North Sea eelpout as well as of Antarctic eelpout at habitat temperature of 0 degrees C and after long-term warming to 5 degrees C. Biochemical parameters like tissue iron content, glutathione redox ratio, and oxidative stress indicators were analyzed to see whether the cellular redox state or reactive oxygen species formation and HIF activation in the fish correlate. HIF-1 DNA binding activity was significantly higher at cold temperature, both in the interspecific comparison, polar vs. temperate species, and when comparing winter and summer North Sea eelpout. Compared at the low acclimation temperatures (0 degrees C for the polar and 6 degrees C for the temperate eelpout) the polar fish showed lower levels of lipid peroxidation although the liver microsomal fraction turned out to be more susceptible to lipid radical formation. The level of radical scavenger, glutathione, was twofold higher in polar than in North Sea eelpout and also oxidised to over 50%. Under both conditions of cold exposure, latitudinal cold in the Antarctic and seasonal cold in the North Sea eelpout, the glutathione redox ratio was more oxidised when compared to the warmer condition. However, oxidative damage parameters (protein carbonyls and thiobarbituric acid reactive substances (TBARS) were elevated only during seasonal cold exposure in Z. viviparus. Obviously, Antarctic eelpout are keeping oxidative defence mechanisms high enough to avoid accumulation of oxidative damage products at low habitat temperature. The paper discusses how HIF could be instrumental in cold adaptation in fish.</t>
  </si>
  <si>
    <t>Alfred Wegener Inst Polar &amp; Marine Res, D-27570 Bremerhaven, Germany; Univ Buenos Aires, Sch Pharm &amp; Biochem, PRALIB, RA-1113 Buenos Aires, DF, Argentina; Turku Univ, Dept Biol, Turku, Finland</t>
  </si>
  <si>
    <t>Helmholtz Association; Alfred Wegener Institute, Helmholtz Centre for Polar &amp; Marine Research; University of Buenos Aires; University of Turku</t>
  </si>
  <si>
    <t>Abele, D (corresponding author), Alfred Wegener Inst Polar &amp; Marine Res, Handelshafen 12, D-27570 Bremerhaven, Germany.</t>
  </si>
  <si>
    <t>Pörtner, Hans-O./K-9429-2016; Pörtner, Hans-O./ISU-9397-2023; Nikinmaa, Mikko/AAZ-2803-2021</t>
  </si>
  <si>
    <t>Pörtner, Hans-O./0000-0001-6535-6575; Abele, Doris/0000-0002-5766-5017; Nikinmaa, Mikko/0000-0003-0593-1018</t>
  </si>
  <si>
    <t>10.1007/s00360-007-0173-4</t>
  </si>
  <si>
    <t>212ET</t>
  </si>
  <si>
    <t>WOS:000249577100007</t>
  </si>
  <si>
    <t>Moe, B; Angelier, F; Bech, C; Chastel, O</t>
  </si>
  <si>
    <t>Moe, Borge; Angelier, Frederic; Bech, Claus; Chastel, Olivier</t>
  </si>
  <si>
    <t>Is basal metabolic rate influenced by age in a long-lived seabird, the snow petrel?</t>
  </si>
  <si>
    <t>JOURNAL OF EXPERIMENTAL BIOLOGY</t>
  </si>
  <si>
    <t>ageing; basal metabolic rate; body condition; disposable; soma theory; diurnal rhythm; long-lived seabirds; oxidative stress; hypothesis; Pagodroma nivea; senescence</t>
  </si>
  <si>
    <t>BODY-COMPOSITION; REPRODUCTIVE-PERFORMANCE; LINE CORTICOSTERONE; ENERGY-EXPENDITURE; ANTARCTIC SEABIRD; SIZE; BIRD; SENESCENCE; EVOLUTION; THERMOREGULATION</t>
  </si>
  <si>
    <t>Ageing is associated with a decline in basal metabolic rate (BMR) in many species, including humans. The evolutionary and physiological causes underlying the relationship between age and BMR are poorly understood. Studies of procellariiform seabirds may provide valuable insight because they have a longer maximum lifespan than expected from their body size and rates of energy metabolism. Such studies are rare, however, because there are few populations with a high proportion of individuals of known age. We performed a cross-sectional study of energy metabolism in relation to age in a long-lived seabird, the snow petrel Pagodroma nivea. In an Antarctic population that has been subject to a long-term research program, including annual banding of chicks since 1963, we measured BMR of individuals aged between 8 and 39 years. We show that the BMR of the snow petrel does not decrease with increasing age. BMR seems to be sustained at a fixed level throughout the investigated age-span. We review this result in light of the disposable soma theory of ageing, and we discuss whether species-specific relationships between age and basal metabolic rate can be related to differences in maximum lifespan.</t>
  </si>
  <si>
    <t>Norwegian Univ Sci &amp; Technol, NTNU, Dept Biol, NO-7491 Trondheim, Norway; CNRS, CEBC, F-79360 Villiers en Bois, France</t>
  </si>
  <si>
    <t>Norwegian University of Science &amp; Technology (NTNU); Centre National de la Recherche Scientifique (CNRS)</t>
  </si>
  <si>
    <t>Moe, B (corresponding author), Norwegian Inst Nat Res, Div Arctic Ecol, NO-9296 Tromso, Norway.</t>
  </si>
  <si>
    <t>borge.moe@nina.no</t>
  </si>
  <si>
    <t>Bech, Claus/C-1086-2011; Bech, Claus/N-1077-2019; Moe, Borge/P-2946-2015</t>
  </si>
  <si>
    <t>Bech, Claus/0000-0002-0860-0663; Bech, Claus/0000-0002-0860-0663; Moe, Borge/0000-0002-2306-1899</t>
  </si>
  <si>
    <t>COMPANY BIOLOGISTS LTD</t>
  </si>
  <si>
    <t>BIDDER BUILDING, STATION RD, HISTON, CAMBRIDGE CB24 9LF, ENGLAND</t>
  </si>
  <si>
    <t>0022-0949</t>
  </si>
  <si>
    <t>1477-9145</t>
  </si>
  <si>
    <t>J EXP BIOL</t>
  </si>
  <si>
    <t>J. Exp. Biol.</t>
  </si>
  <si>
    <t>OCT 1</t>
  </si>
  <si>
    <t>10.1242/jeb.005090</t>
  </si>
  <si>
    <t>211IM</t>
  </si>
  <si>
    <t>WOS:000249517500018</t>
  </si>
  <si>
    <t>Bravo, LA; Saavedra-Mella, FA; Vera, F; Guerra, A; Cavieres, LA; Ivanov, AG; Huner, NPA; Corcuera, LJ</t>
  </si>
  <si>
    <t>Bravo, Leon A.; Saavedra-Mella, Felipe A.; Vera, Felipe; Guerra, Alexi; Cavieres, Lohengrin A.; Ivanov, Alexander G.; Huner, Norman P. A.; Corcuera, Luis J.</t>
  </si>
  <si>
    <t>Effect of cold acclimation on the photosynthetic performance of two ecotypes of Colobanthus quitensis (Kunth) Bartl.</t>
  </si>
  <si>
    <t>JOURNAL OF EXPERIMENTAL BOTANY</t>
  </si>
  <si>
    <t>antarctic plants; heat dissipation; low temperature; non-photochemical quenching; photoinhibition; photosynthesis</t>
  </si>
  <si>
    <t>ANTARCTIC VASCULAR PLANTS; LOW-TEMPERATURE; PHOTOSYSTEM-II; HIGH LIGHT; XANTHOPHYLL CYCLE; CALVIN CYCLE; PHOTOINHIBITION; PROTECTION; ZEAXANTHIN; CAPACITY</t>
  </si>
  <si>
    <t>The effects of cold acclimation of two ecotypes (Antarctic and Andes) of Colobanthus quitensis (Kunth) Bartl. Caryophyllaceae on their photosynthetic characteristics and performance under high light (HL) were compared. Non-acclimated plants of the Antarctic ecotype exhibited a higher (34%) maximal rate of photosynthesis than the Andes ecotype. In cold-acclimated plants the light compensation point was increased. Dark respiration was significantly increased during the exposure to 4 degrees C in both ecotypes. Cold-acclimated Antarctic plants showed higher phi(PSII) and qP compared with the Andes ecotype. In addition, the Antarctic ecotype exhibited higher heat dissipation (NPQ), especially in the cold-acclimated state, which was mainly associated with the fast relaxing component of non-photochemical quenching (NPQ(F)). By contrast, the Andes ecotype exhibited a lower NPQ(F) and a significant increase in the slowly relaxing component (NPQ(s)) at low temperature and HL, indicating higher sensitivity to low temperature-induced photoinhibition. Although the xanthophyll cycle was fully operational in both ecotypes, cold-acclimated Antarctic plants exposed to HL exhibited higher epoxidation state of the xanthophyll cycle pigments (EPS) compared with the cold- acclimated Andes ecotype. Thus, the photosynthetic apparatus of the Antarctic ecotype operates more efficiently than that of the Andes one, under a combination of low temperature and HL. The ecotype differences are discussed in relation to the different climatic conditions of the two Colobanthus.</t>
  </si>
  <si>
    <t>Univ Concepcion, Fac Ciencias Nat &amp; Oceanograficas, Dept Bot, Concepcion, Chile; Univ Western Ontario, Dept Biol &amp; Biotron, London, ON N6A 5B7, Canada</t>
  </si>
  <si>
    <t>Universidad de Concepcion; Western University (University of Western Ontario)</t>
  </si>
  <si>
    <t>Bravo, LA (corresponding author), Univ Concepcion, Fac Ciencias Nat &amp; Oceanograficas, Dept Bot, Casilla 160-C,Correo 3, Concepcion, Chile.</t>
  </si>
  <si>
    <t>lebravo@udec.cl</t>
  </si>
  <si>
    <t>Cavieres, Lohengrin A./A-9542-2010; Corcuera, Luis J/G-1714-2014; Bravo, León/AAO-8437-2020; Bravo, Leon/H-9251-2018</t>
  </si>
  <si>
    <t>Cavieres, Lohengrin A./0000-0001-9122-3020; Bravo, León/0000-0003-4705-4842; Bravo, Leon/0000-0003-4705-4842; Ivanov, Alexander G./0000-0001-7100-9211; Ivanov, Alexander/0000-0001-7910-5494</t>
  </si>
  <si>
    <t>0022-0957</t>
  </si>
  <si>
    <t>1460-2431</t>
  </si>
  <si>
    <t>J EXP BOT</t>
  </si>
  <si>
    <t>J. Exp. Bot.</t>
  </si>
  <si>
    <t>10.1093/jxb/erm206</t>
  </si>
  <si>
    <t>239GH</t>
  </si>
  <si>
    <t>WOS:000251506300008</t>
  </si>
  <si>
    <t>Williams, AJ; Mapstone, BD; Davies, CR</t>
  </si>
  <si>
    <t>Williams, A. J.; Mapstone, B. D.; Davies, C. R.</t>
  </si>
  <si>
    <t>Spatial and interannual patterns in growth of an exploited coral-reef fish</t>
  </si>
  <si>
    <t>coral-reef fish; fisheries management; Great Barrier Reef; growth; spatial and temporal variation</t>
  </si>
  <si>
    <t>GREAT-BARRIER-REEF; LUTJANUS-ADETII CASTELNAU; DENSITY-DEPENDENT GROWTH; L-QUINQUELINEATUS BLOCH; RED THROAT EMPEROR; POPULATION BIOLOGY; LETHRINUS-MINIATUS; FOOD AVAILABILITY; COUNTERGRADIENT VARIATION; MORTALITY-RATES</t>
  </si>
  <si>
    <t>Patterns of growth in an exploited reef fish Lethrinus miniatus were examined over 5 years (1995-1999) at two spatial scales: (1) among regions of the Great Barrier Reef (GBR) separated by &gt; 100 km and (2) among reefs within each of these regions, separated by &lt;= 10 km. Mean annual growth of L. miniatus varied significantly among years, but this variation was consistent among ages and regions, indicating that factors that influence temporal patterns in growth were not age-specific and operated at relatively large spatial scales. Significant variation in growth was also observed among some reefs within regions, although the greatest variation was among regions. The average maximum fork length (L-F infinity) and average maximum mass (M-infinity) varied significantly among regions, suggesting that productivity of L. miniatus is likely to vary among regions of the GBR. There was also significantly greater mass of fish for a given L-F in two regions, which magnified the regional differences in M-infinity. The observed temporal and spatial variation in growth highlighted the importance of a multi-scale approach to population studies and assessment of fish stocks. (c) 2007 The Authors.</t>
  </si>
  <si>
    <t>James Cook Univ N Queensland, Sch Earth &amp; Environm Sci, Townsville, Qld 4811, Australia; Antarctic Climate &amp; Ecosyst CRC, Hobart, Tas 7001, Australia; CSIRO Marine &amp; Atmospher Res, Hobart, Tas 7001, Australia</t>
  </si>
  <si>
    <t>James Cook University; University of Tasmania; Commonwealth Scientific &amp; Industrial Research Organisation (CSIRO)</t>
  </si>
  <si>
    <t>Williams, AJ (corresponding author), James Cook Univ N Queensland, Sch Earth &amp; Environm Sci, Townsville, Qld 4811, Australia.</t>
  </si>
  <si>
    <t>ashley.williams@jcu.edu.au</t>
  </si>
  <si>
    <t>Williams, Ashley/G-2017-2014; Williams, Ashley/JAX-9689-2023; Davies, Campbell R/N-8086-2013; Williams, Ashley J/J-7565-2013; Williams, Ashley/ABA-5921-2020</t>
  </si>
  <si>
    <t>Williams, Ashley/0000-0002-5530-0073; Williams, Ashley/0000-0002-5530-0073</t>
  </si>
  <si>
    <t>10.1111/j.1095-8649.2007.01560.x</t>
  </si>
  <si>
    <t>221ZL</t>
  </si>
  <si>
    <t>WOS:000250265800003</t>
  </si>
  <si>
    <t>Mishra, AP; Rai, S; Pandey, AC</t>
  </si>
  <si>
    <t>Mishra, Anshu Prakash; Rai, S.; Pandey, A. C.</t>
  </si>
  <si>
    <t>An estimation of heat flux and its variability in the Southern Indian Ocean (SIO) using Ocean General Circulation Model</t>
  </si>
  <si>
    <t>JOURNAL OF INDIAN GEOPHYSICAL UNION</t>
  </si>
  <si>
    <t>Evaluated annual mean and seasonal means net heat flux at the ocean surface for the period 19751998 from an ocean model results for Southern Indian Ocean (SIO) having spatial coverage 0.25 degrees N-74.25 degrees S &amp; 15.75 degrees E-120.75 degrees E. It has been found that model annual mean and seasonal means net heat flux fields agree moderately with Southampton Oceanography Center (SOC) climatological heat fluxes and there are spatial inconsistencies in computation against a good agreement in-between model and SOC data sets in the region of interest. These discrepancies may be due to deficiency with model physics or sampling related bias in SOC data sets. Further, nature of variability of surface heat flux field in SIO was studied using Empirical Orthogonal Functions (EOF) techniques. Interannual variability represented in the first EOF of surface heat flux anomaly shows a strong trend in the Antarctic Circumpolar Current (ACC) region and significance variability around ten years.</t>
  </si>
  <si>
    <t>[Mishra, Anshu Prakash] Cent Water Commiss, Upper Brahmaputra Div, Dibrugarh 786003, Assam, India; [Rai, S.] Univ Allahabad, Fac Sci, Nehru Sci Ctr, K Banerjee Ctr Atmospher &amp; Ocean Studies, Allahabad, Uttar Pradesh, India; [Pandey, A. C.] Univ Allahabad, Dept Phys, Allahabad, Uttar Pradesh, India</t>
  </si>
  <si>
    <t>University of Allahabad; University of Allahabad</t>
  </si>
  <si>
    <t>Mishra, AP (corresponding author), Cent Water Commiss, Upper Brahmaputra Div, Dibrugarh 786003, Assam, India.</t>
  </si>
  <si>
    <t>anshu_786@rediffmail.com</t>
  </si>
  <si>
    <t>Pandey, Ashok/JBR-8714-2023; Pandey, Ashok/AAC-6340-2019</t>
  </si>
  <si>
    <t>Pandey, Ashok/0000-0003-1626-3529; Pandey, Ashok/0000-0003-1626-3529</t>
  </si>
  <si>
    <t>Centre of Ocean Land Atmosphere Studies (COLA), Calverton, MD, USA; NCAOR Goa/DOD</t>
  </si>
  <si>
    <t>Centre of Ocean Land Atmosphere Studies (COLA), Calverton, MD, USA; NCAOR Goa/DOD(United States Department of Defense)</t>
  </si>
  <si>
    <t>We thank Dr. B. Kirtman, Centre of Ocean Land Atmosphere Studies ( COLA), Calverton, MD, USA for providing us MOM3 output data and special thanks to Dr. P.C. Pandey, Ex-Director, NCAOR/DOD (GOI), Goa and Dr. B. Huang, COLA, MD, USA for their valuable suggestions. We thank NCAOR Goa/DOD for financial assistance through a research project.</t>
  </si>
  <si>
    <t>INDIAN GEOPHYSICAL UNION-IGU</t>
  </si>
  <si>
    <t>HYDERABAD</t>
  </si>
  <si>
    <t>NGRI, UPPAL RD, HYDERABAD, 500 007, INDIA</t>
  </si>
  <si>
    <t>0257-7968</t>
  </si>
  <si>
    <t>J INDIAN GEOPHYS UNI</t>
  </si>
  <si>
    <t>J. Indian Geophys. Union</t>
  </si>
  <si>
    <t>V8J0S</t>
  </si>
  <si>
    <t>WOS:000421681300005</t>
  </si>
  <si>
    <t>Pocock, TH; Koziak, A; Rosso, D; Falk, S; Hüner, NPA</t>
  </si>
  <si>
    <t>Pocock, Tessa H.; Koziak, Alexandra; Rosso, Dominic; Falk, Stefan; Huener, Norman P. A.</t>
  </si>
  <si>
    <t>Chlamydomonas raudensis (UWO 241), Chlorophyceae, exhibits the capacity for rapid D1 repair in response to chronic photoinhibition at low temperature</t>
  </si>
  <si>
    <t>Chlamydomonas raudensis (UWO 241); D1 repair cycle; photoinhibition; photoprotection; psychrophile; recovery; xanthophyll cycle</t>
  </si>
  <si>
    <t>II EXCITATION PRESSURE; PHOTOSYSTEM-II; GREEN-ALGA; PHOTOSYNTHETIC CAPACITY; COLD-ACCLIMATION; SPRING WHEAT; RECOVERY; LEAVES; CYCLE; FLUORESCENCE</t>
  </si>
  <si>
    <t>Maximum photosynthetic capacity indicates that the Antarctic psychrophile Chlamydomonas raudensis H. Ettl UWO 241 is photosynthetically adapted to low temperature. Despite this finding, C. raudensis UWO 241 exhibited greater sensitivity to low-temperature photoinhibition of PSII than the mesophile Chlamydomonas reinhardtii P. A. Dang. However, in contrast with results for C. reinhardtii, the quantum requirement to induce 50% photoinhibition of PSII in C. raudensis UWO 241 (50 mu mol photons) was comparable at either 8 degrees C or 29 degrees C. To our knowledge, this is the first report of a photoautotroph whose susceptibility to photoinhibition is temperature independent. In contrast, the capacity of the psychrophile to recover from photoinhibition of PSII was sensitive to temperature and inhibited at 29 degrees C. The maximum rate of recovery from photoinhibition of the psychrophile at 8 degrees C was comparable to the maximum rate of recovery of the mesophile at 29 degrees C. We provide evidence that photoinhibition in C. raudensis UWO 241 is chronic rather than dynamic. The photoinhibition-induced decrease in the D1 content in C. raudensis recovered within 30 min at 8 degrees C. Both the recovery of the D1 content as well as the initial fast phase of the recovery of F-v/F-m at 8 degrees C were inhibited by lincomycin, a chloroplast protein synthesis inhibitor. We conclude that the susceptibility of C. raudensis UWO 241 to low-temperature photoinhibition reflects its adaptation to low growth irradiance, whereas the unusually rapid rate of recovery at low temperature exhibited by this psychrophile is due to a novel D1 repair cycle that is adapted to and is maximally operative at low temperature.</t>
  </si>
  <si>
    <t>Univ Western Ontario, Dept Biol &amp; Biotron, London, ON N6A 5B7, Canada; Mid Sweden Univ, Dept Nat &amp; Environm Sci, Sundsvall, Sweden</t>
  </si>
  <si>
    <t>Western University (University of Western Ontario); Mid-Sweden University</t>
  </si>
  <si>
    <t>Hüner, NPA (corresponding author), Univ Western Ontario, Dept Biol &amp; Biotron, London, ON N6A 5B7, Canada.</t>
  </si>
  <si>
    <t>1529-8817</t>
  </si>
  <si>
    <t>10.1111/j.1529-8817.2007.00380.x</t>
  </si>
  <si>
    <t>215RT</t>
  </si>
  <si>
    <t>WOS:000249827400008</t>
  </si>
  <si>
    <t>Lumpkin, R; Speer, K</t>
  </si>
  <si>
    <t>Lumpkin, Rick; Speer, Kevin</t>
  </si>
  <si>
    <t>Global ocean meridional overturning</t>
  </si>
  <si>
    <t>ANTARCTIC BOTTOM WATER; SEA FLUX CLIMATOLOGY; NORTH-ATLANTIC; LEEUWIN CURRENT; AGULHAS CURRENT; HEAT-TRANSPORT; INDIAN-OCEAN; FRESH-WATER; DEEP-WATER; CIRCULATION</t>
  </si>
  <si>
    <t>A decade-mean global ocean circulation is estimated using inverse techniques, incorporating air-sea fluxes of heat and freshwater, recent hydrographic sections, and direct current measurements. This information is used to determine mass, heat, freshwater, and other chemical transports, and to constrain boundary currents and dense overflows. The 18 boxes defined by these sections are divided into 45 isopycnal ( neutral density) layers. Diapycnal transfers within the boxes are allowed, representing advective fluxes and mixing processes. Air-sea fluxes at the surface produce transfers between outcropping layers. The model obtains a global overturning circulation consistent with the various observations, revealing two global-scale meridional circulation cells: an upper cell, with sinking in the Arctic and subarctic regions and upwelling in the Southern Ocean, and a lower cell, with sinking around the Antarctic continent and abyssal upwelling mainly below the crests of the major bathymetric ridges.</t>
  </si>
  <si>
    <t>NOAA, Atlantic Oceanog &amp; Meteorol Lab, Phys Oceanog Div, Miami, FL 33149 USA; Florida State Univ, Dept Oceanog, Tallahassee, FL 32306 USA</t>
  </si>
  <si>
    <t>National Oceanic Atmospheric Admin (NOAA) - USA; Atlantic Oceanographic &amp; Meteorological Laboratory (AOML); State University System of Florida; Florida State University</t>
  </si>
  <si>
    <t>Lumpkin, R (corresponding author), NOAA, Atlantic Oceanog &amp; Meteorol Lab, Phys Oceanog Div, 4301 Rickenbacker Causeway, Miami, FL 33149 USA.</t>
  </si>
  <si>
    <t>rick.lumpkin@noaa.gov</t>
  </si>
  <si>
    <t>Lumpkin, Rick/C-9615-2009</t>
  </si>
  <si>
    <t>Lumpkin, Rick/0000-0002-6690-1704</t>
  </si>
  <si>
    <t>1520-0485</t>
  </si>
  <si>
    <t>10.1175/JPO3130.1</t>
  </si>
  <si>
    <t>228NS</t>
  </si>
  <si>
    <t>WOS:000250737200011</t>
  </si>
  <si>
    <t>Edwards, HGM; Villar, SEJ; Pullan, D; Hargreaves, MD; Hofmann, BA; Westall, F</t>
  </si>
  <si>
    <t>Edwards, Howell G. M.; Villar, Susana E. Jorge; Pullan, Derek; Hargreaves, Michael D.; Hofmann, Beda A.; Westall, Frances</t>
  </si>
  <si>
    <t>Morphological biosignatures from relict fossilised sedimentary geological specimens: a Raman spectroscopic study</t>
  </si>
  <si>
    <t>JOURNAL OF RAMAN SPECTROSCOPY</t>
  </si>
  <si>
    <t>mars analogues; Raman spectroscopy; spectral biosignatures; biogeological modification; ExoMars; instrumentation</t>
  </si>
  <si>
    <t>ANTARCTIC HABITATS; LIFE; MICROORGANISMS; MIOCENE; SEARCH; EARTH; RIES</t>
  </si>
  <si>
    <t>Morphological biosignatures (features related to life) and associated terrestrial sedimentary structures that provide possible sampling targets for the remote astrobiological exploration of planets have been analysed using Raman spectroscopic techniques. The spectral data from a suite of samples comprising cryptochasmoendoliths, preserved microbial filaments and relict sedimentary structures comprise a preliminary database for the establishment of key Raman biosignatures. This will form the basis for the evaluation of prototype miniaturised instrumentation for the proposed ESA ExoMars mission scheduled for 2013. The Raman spectral biosignatures of carotenoids and scytonemin, organic biomolecules characteristic of the cyanobacterial colonisation of geological matrices and biogeologically modified minerals are also identifiable in the sedimentary specimen materials. The results of this study demonstrate the basis of the molecular recognition of extinct and extant exobiology that will feed into the elemental structural analyses of morphological structures provided by associated SEM, XRD and laser-induced breakdown spectroscopy (LIBS) techniques on robotic analytical landers. Copyright (c) 2007 John Wiley &amp; Sons, Ltd.</t>
  </si>
  <si>
    <t>Univ Bradford, Sch Life Sci, Univ Analyt Ctr, Ctr Astrobiol &amp; Extremeophile Res, Bradford BD7 1DP, W Yorkshire, England; Fac Humanidades &amp; Educ, Area Geodinam Interna, Burgos, Spain; Univ Leicester, Dept Phys &amp; Astron, Ctr Space Res, Leicester LE1 7RH, Leics, England; Nat Hist Museum, CH-3005 Bern, Switzerland; CNRS, Ctr Biophys Biomol, F-45071 Orleans 2, France</t>
  </si>
  <si>
    <t>University of Bradford; University of Leicester; Centre National de la Recherche Scientifique (CNRS)</t>
  </si>
  <si>
    <t>Edwards, HGM (corresponding author), Univ Bradford, Sch Life Sci, Univ Analyt Ctr, Ctr Astrobiol &amp; Extremeophile Res, Bradford BD7 1DP, W Yorkshire, England.</t>
  </si>
  <si>
    <t>Jorge-Villar, Susana E./A-8927-2011</t>
  </si>
  <si>
    <t>Jorge-Villar, Susana E./0000-0003-1676-4438; Hofmann, Beda/0000-0003-2738-8466</t>
  </si>
  <si>
    <t>0377-0486</t>
  </si>
  <si>
    <t>1097-4555</t>
  </si>
  <si>
    <t>J RAMAN SPECTROSC</t>
  </si>
  <si>
    <t>J. Raman Spectrosc.</t>
  </si>
  <si>
    <t>10.1002/jrs.1775</t>
  </si>
  <si>
    <t>221PI</t>
  </si>
  <si>
    <t>WOS:000250239400017</t>
  </si>
  <si>
    <t>Rypina, II; Brown, MG; Beron-Vera, FJ</t>
  </si>
  <si>
    <t>Rypina, I. I.; Brown, M. G.; Beron-Vera, F. J.</t>
  </si>
  <si>
    <t>On the lagrangian dynamics of atmospheric zonal jets and the permeability of the stratospheric polar vortex</t>
  </si>
  <si>
    <t>JOURNAL OF THE ATMOSPHERIC SCIENCES</t>
  </si>
  <si>
    <t>COHERENT STRUCTURES; CHAOTIC ADVECTION; SOUTHERN-HEMISPHERE; ANTARCTIC VORTEX; INVARIANT TORI; LOBE DYNAMICS; ROSSBY WAVES; TRANSPORT; VORTICITY; EVOLUTION</t>
  </si>
  <si>
    <t>The Lagrangian dynamics of zonal jets in the atmosphere are considered, with particular attention paid to explaining why, under commonly encountered conditions, zonal jets serve as barriers to meridional transport. The velocity field is assumed to be two-dimensional and incompressible, and composed of a steady zonal flow with an isolated maximum ( a zonal jet) on which two or more traveling Rossby waves are superimposed. The associated Lagrangian motion is studied with the aid of the Kolmogorov-Arnold-Moser (KAM) theory, including nontrivial extensions of well-known results. These extensions include applicability of the theory when the usual statements of nondegeneracy are violated, and applicability of the theory to multiply periodic systems, including the absence of Arnold diffusion in such systems. These results, together with numerical simulations based on a model system, provide an explanation of the mechanism by which zonal jets serve as barriers to the meridional transport of passive tracers under commonly encountered conditions. Causes for the breakdown of such a barrier are discussed. It is argued that a barrier of this type accounts for the sharp boundary of the Antarctic ozone hole at the perimeter of the stratospheric polar vortex in the austral spring.</t>
  </si>
  <si>
    <t>Univ Miami, Rosenstiel Sch Marine &amp; Atmospher Sci, AMP, Miami, FL 33149 USA; Univ Miami, Dept Comp Sci, Coral Gables, FL 33124 USA; Univ Miami, Dept Math, Coral Gables, FL 33124 USA</t>
  </si>
  <si>
    <t>University of Miami; University of Miami; University of Miami</t>
  </si>
  <si>
    <t>Rypina, II (corresponding author), Univ Miami, Rosenstiel Sch Marine &amp; Atmospher Sci, AMP, 4600 Rickenbacker Causeway, Miami, FL 33149 USA.</t>
  </si>
  <si>
    <t>irypina@rsmas.miami.edu</t>
  </si>
  <si>
    <t>Beron-Vera, Francisco/ABA-2542-2021</t>
  </si>
  <si>
    <t>Olascoaga, Maria/0000-0002-4171-3221</t>
  </si>
  <si>
    <t>0022-4928</t>
  </si>
  <si>
    <t>1520-0469</t>
  </si>
  <si>
    <t>J ATMOS SCI</t>
  </si>
  <si>
    <t>J. Atmos. Sci.</t>
  </si>
  <si>
    <t>10.1175/JAS4036.1</t>
  </si>
  <si>
    <t>220QE</t>
  </si>
  <si>
    <t>WOS:000250171000012</t>
  </si>
  <si>
    <t>Haynes, PH; Poet, DA; Shuckburgh, EF</t>
  </si>
  <si>
    <t>Haynes, P. H.; Poet, D. A.; Shuckburgh, E. F.</t>
  </si>
  <si>
    <t>Transport and mixing in kinematic and dynamically consistent flows</t>
  </si>
  <si>
    <t>ANTARCTIC POLAR VORTEX; BETA-PLANE TURBULENCE; ROSSBY WAVES; CHAOTIC TRANSPORT; EFFECTIVE DIFFUSIVITY; COORDINATE SYSTEM; TRACER TRANSPORT; STRATOSPHERE; VORTICITY; BREAKING</t>
  </si>
  <si>
    <t>The interplay between dynamics and transport in two-dimensional flows is examined by comparing the transport and mixing in a kinematic flow in which the velocity field is imposed as a given function of time with that in an analogous dynamically consistent flow in which the advected vorticity field controls the flow evolution. In both cases the variation of the transport and mixing behavior with a parameter epsilon governing the strength of the time dependence is considered. It is shown that dynamical consistency has the effect of (i) postponing the breaking of a central transport barrier as epsilon increases and (ii) removing the property of the kinematic flow that, for a large range of epsilon, a weakly permeable central barrier persists. The first effect is associated with the development of a strong vorticity gradient and the associated jet along the central transport barrier. The second effect is associated with the fact that, in the dynamically consistent flow, the breaking of the central barrier is accompanied by a drastic change in the vorticity field and hence in the structure of the flow. The relation between the vorticity field and transport barriers is further examined using a range of simple kinematic and dynamically consistent models. Implications for formulation of predictive models that represent the interactions between dynamics, transport, and mixing ( and might be suggested as a basis for parameterizing eddies in flows that form multiple jets) are discussed.</t>
  </si>
  <si>
    <t>Univ Cambridge, Dept Appl Math &amp; Theoret Phys, Cambridge CB3 0WA, England</t>
  </si>
  <si>
    <t>Haynes, PH (corresponding author), Univ Cambridge, Dept Appl Math &amp; Theoret Phys, Wilberforce Rd, Cambridge CB3 0WA, England.</t>
  </si>
  <si>
    <t>phh@damtp.cam.ac.uk</t>
  </si>
  <si>
    <t>Haynes, Peter/0000-0002-7726-6988; Shuckburgh, Emily/0000-0001-9206-3444</t>
  </si>
  <si>
    <t>NERC [NE/D009642/1, NE/D002753/1] Funding Source: UKRI; Natural Environment Research Council [NE/C508685/1, NE/D002753/1, NE/D009642/1] Funding Source: researchfish</t>
  </si>
  <si>
    <t>10.1175/JAS4030.1</t>
  </si>
  <si>
    <t>WOS:000250171000015</t>
  </si>
  <si>
    <t>Griswold, M; Harrison, M; Saltzberg, D</t>
  </si>
  <si>
    <t>Griswold, Martin; Harrison, Mark; Saltzberg, David</t>
  </si>
  <si>
    <t>Observation of light transmission through randomly rough glass surfaces beyond the critical angle</t>
  </si>
  <si>
    <t>JOURNAL OF THE OPTICAL SOCIETY OF AMERICA A-OPTICS IMAGE SCIENCE AND VISION</t>
  </si>
  <si>
    <t>ENHANCED BACKSCATTERING; SCATTERING; REFLECTION</t>
  </si>
  <si>
    <t>In this series of experiments we study the transmission of laser light through a randomly rough interface between air and ground-glass diffusers. We verify the refractive index suppression predicted by Dogariu and Boreman [Opt. Lett. 21, 701 (1996)]. We also observe and quantify transmission beyond the critical angle for total internal reflection defined by Snell's law. In particular, these results may be applied to the ANITA experiment, which detects astrophysical neutrino interactions via radio waves produced under the ice. These radio waves must pass through the rough surfaces of the Antarctic ice sheets and shelves. (c) 2007 Optical Society of America.</t>
  </si>
  <si>
    <t>Univ Calif Los Angeles, Dept Phys &amp; Astron, Los Angeles, CA 90095 USA</t>
  </si>
  <si>
    <t>Griswold, M (corresponding author), Univ Calif Los Angeles, Dept Phys &amp; Astron, Los Angeles, CA 90095 USA.</t>
  </si>
  <si>
    <t>mgriz@uclo.edu</t>
  </si>
  <si>
    <t>OPTICAL SOC AMER</t>
  </si>
  <si>
    <t>2010 MASSACHUSETTS AVE NW, WASHINGTON, DC 20036 USA</t>
  </si>
  <si>
    <t>1084-7529</t>
  </si>
  <si>
    <t>1520-8532</t>
  </si>
  <si>
    <t>J OPT SOC AM A</t>
  </si>
  <si>
    <t>J. Opt. Soc. Am. A-Opt. Image Sci. Vis.</t>
  </si>
  <si>
    <t>10.1364/JOSAA.24.003207</t>
  </si>
  <si>
    <t>227UC</t>
  </si>
  <si>
    <t>WOS:000250682300030</t>
  </si>
  <si>
    <t>Barnes, DKA; Kuklinski, P; Wlodarska-Kowalczuk, M</t>
  </si>
  <si>
    <t>Barnes, David K. A.; Kuklinski, Piotr; Wlodarska-Kowalczuk, Maria</t>
  </si>
  <si>
    <t>Richness, abundance and shell use of subarctic and arctic hermit crabs</t>
  </si>
  <si>
    <t>GASTROPOD SHELLS; DECAPOD CRUSTACEANS; PAGURUS-LONGICARPUS; QUIRIMBA ISLAND; PATTERNS; ECOLOGY; SELECTION; RESOURCE; ANOMURA; SIZE</t>
  </si>
  <si>
    <t>Hermit crabs are an obvious, common and abundant feature of global shallow water environments but almost nothing is known of their ecology at their extreme latitudinal ranges, the Arctic and southern South America. In this study, we report the first investigation on hermit crabs and their use of a key resource, gastropod shells, in a subpolar and a polar environment-amongst the most rapidly changing places on earth. Hypothesised low levels of richness were confirmed by surveys-only Pagurus pubescens was found in western Spitsbergen and only three pagurids were found in northern Norway. At the northern-most of their extent, hermit crabs were fairly common but Arctic abundances (1-5 m(-2)) were an order of magnitude lower than in many warm temperate or tropical localities. Along the open coast of Spitsbergen, the occurrence of P. pubescens was infrequent and very patchy, but it was more abundant in the fjords. In Isfjorden, the largest studied fjord, the population of P. pubescens was mainly represented by small individuals. Spitsbergen P. pubescens used few shell types and &gt; 87% just occurred in Margarites or Buccinum shells. The proportion of the gastropod shells, used by P. pubescens, which were damaged, was high and increased with shell size. These hermit crabs are at the edge of the range for both their species and Anomura. The extremes of their location are reflected by: They probably represent the least rich assemblage, with the lowest and most patchy typical abundances reported to date and are amongst the smallest individuals using the least diverse and most damaged gastropod shells.</t>
  </si>
  <si>
    <t>British Antarctic Survey, Nat Environm Res Council, Cambridge CB3 0ET, England; Polish Acad Sci, Inst Oceanol, Marine Ecol Dept, PL-81712 Sopot, Poland</t>
  </si>
  <si>
    <t>UK Research &amp; Innovation (UKRI); Natural Environment Research Council (NERC); NERC British Antarctic Survey; Polish Academy of Sciences; Institute of Oceanology of the Polish Academy of Sciences</t>
  </si>
  <si>
    <t>Barnes, DKA (corresponding author), British Antarctic Survey, Nat Environm Res Council, High Cross,Madingley Rd, Cambridge CB3 0ET, England.</t>
  </si>
  <si>
    <t>Wlodarska-kowalczuk, Maria/K-4325-2012</t>
  </si>
  <si>
    <t>10.1007/s00227-007-0762-5</t>
  </si>
  <si>
    <t>211DG</t>
  </si>
  <si>
    <t>WOS:000249503900012</t>
  </si>
  <si>
    <t>Branch, TA; Abubaker, EMN; Mkango, S; Butterworth, DS</t>
  </si>
  <si>
    <t>Branch, T. A.; Abubaker, E. M. N.; Mkango, S.; Butterworth, D. S.</t>
  </si>
  <si>
    <t>Separating southern blue whale subspecies based on length frequencies of sexually mature females</t>
  </si>
  <si>
    <t>Balaenoptera musculus intermedia; B. m. brevicauda; blue whale; mixture models; Bayesian; length frequencies; jackknife analysis; subspecies</t>
  </si>
  <si>
    <t>SOUNDS; CALLS</t>
  </si>
  <si>
    <t>When sexually mature, Antarctic (true) blue whales are substantially longer than pygmy blue whales. To estimate the proportions of these two subspecies in various regions, Bayesian mixture models were fitted to catch length frequencies of sexually mature females. The extent of rounding to 5-ft intervals was also estimated. Antarctic blue whales dominated (99.2%) pelagic catches south of 52 degrees S, whereas pygmy blue whales dominated (99.9%) north of 52 degrees S and in 35 degrees-180 degrees E. South of 60 degrees S, only 0.7% (95% credibility interval 0.5%-10%) were pygmy blue whales, lower than the 7% upper bound currently assumed. Shore-based catches from SW Africa and those before 1937 from South Georgia and the South Shetlands were estimated to contain 90%-92% Antarctic blue whales. Actual proportions were probably higher, but these data show evidence of rounding (up to 19% of records), poor length-estimation methods, and other problems. The mean length of sexually mature female Chilean blue whales (77.1 ft, 23.5 m) was intermediate between pygmy (68.9 ft, 2 10 m) and Antarctic blue whales (83.4-86.3 ft, 2 5.4-26.6 m). A good fit to these data was obtained only by assuming that the Chilean whales are a separate subspecies or distinctive population. This finding is also consistent with their discrete distribution, and genetic and call type differences, compared to Antarctic and pygmy blue whales.</t>
  </si>
  <si>
    <t>Univ Cape Town, Dept Math &amp; Appl Math, MARAM, ZA-7701 Rondebosch, South Africa; African Inst Math Sci, ZA-7945 Muizenberg, South Africa; Univ Khartoum, Dept Appl Math, Khartoum 11115, Sudan; African Inst Math Sci, ZA-7945 Muizenberg, South Africa; Univ Cape Town, Dept Math &amp; Appl Math, MARAM, ZA-7701 Rondebosch, South Africa</t>
  </si>
  <si>
    <t>University of Cape Town; University of Khartoum; University of Cape Town</t>
  </si>
  <si>
    <t>Branch, TA (corresponding author), Univ Cape Town, Dept Math &amp; Appl Math, MARAM, ZA-7701 Rondebosch, South Africa.</t>
  </si>
  <si>
    <t>tbranch@gmail.com</t>
  </si>
  <si>
    <t>Branch, Trevor/A-5691-2009</t>
  </si>
  <si>
    <t>10.1111/j.1748-7692.2007.00137.x</t>
  </si>
  <si>
    <t>219LQ</t>
  </si>
  <si>
    <t>WOS:000250087100004</t>
  </si>
  <si>
    <t>Jull, AJT; Lal, D; Taylor, S; Wieler, R; Grimberg, A; Vacher, L; McHargue, LR; Freeman, SPHT; Maden, C; Schnabel, C; Xu, S; Finkel, RC; Kim, KJ; Marti, K</t>
  </si>
  <si>
    <t>Jull, A. J. T.; Lal, D.; Taylor, S.; Wieler, R.; Grimberg, A.; Vacher, L.; McHargue, L. R.; Freeman, S. P. H. T.; Maden, C.; Schnabel, C.; Xu, S.; Finkel, R. C.; Kim, K. J.; Marti, K.</t>
  </si>
  <si>
    <t>3He, 20,21,22Ne, 14C, 10Be, 26AI, and 36CI in magnetic fractions of cosmic dust from Greenland and Antarctica</t>
  </si>
  <si>
    <t>SOLAR ENERGETIC PARTICLES; INTERPLANETARY DUST; NOBLE-GASES; EXPOSURE HISTORY; ACCRETION RATE; EXCESS HE-3; SPHERULES; COLLECTION; WIND; NEON</t>
  </si>
  <si>
    <t>We report on studies of the concentrations of cosmogenic nuclides in the magnetic fraction of cosmic dust particles recovered from the South Pole Water Well (SPWW) and from Greenland. Our results confirm that cosmic dust material from these locations contains measurable amounts of cosmogenic nuclides. The Antarctic particles (and possibly those from Greenland as well) also contain minor amounts of solar Ne. Concentrations of cosmogenic nuclides are consistent with irradiation of this material as small objects in space, with exposure ages similar to the expected Poynting-Robertson (P-R) lifetimes of 50-200 kyr for particles 25-100 mu m in size.</t>
  </si>
  <si>
    <t>[Jull, A. J. T.; McHargue, L. R.] Univ Arizona, NSF Arizona AMS Lab, Tucson, AZ 85721 USA; [Lal, D.; Vacher, L.] Univ Calif San Diego, Scripps Inst Oceanog, Div Geol Res, La Jolla, CA 92093 USA; [Taylor, S.] Cold Reg Res Lab, Hanover, NH 03755 USA; [Wieler, R.; Grimberg, A.] ETH, NW C84, CH-8092 Zurich, Switzerland; [McHargue, L. R.; Freeman, S. P. H. T.; Maden, C.; Schnabel, C.; Xu, S.] Scottish Univ Environm Res Ctr, E Kilbride G75 0QF, Lanark, Scotland; [Finkel, R. C.] Lawrence Livermore Natl Lab, Ctr Accelerator Mass Spectrometry, Livermore, CA 94550 USA; [Marti, K.] Univ Calif San Diego, Dept Chem, La Jolla, CA 92093 USA; [Kim, K. J.] Korea Inst Geosci &amp; Mineral Resources, Taejon 305350, South Korea</t>
  </si>
  <si>
    <t>University of Arizona; National Science Foundation (NSF); University of California System; University of California San Diego; Scripps Institution of Oceanography; United States Department of Defense; United States Army; U.S. Army Corps of Engineers; U.S. Army Engineer Research &amp; Development Center (ERDC); Cold Regions Research &amp; Engineering Laboratory (CRREL); Swiss Federal Institutes of Technology Domain; ETH Zurich; Scottish Universities Research &amp; Reactor Center; United States Department of Energy (DOE); Lawrence Livermore National Laboratory; University of California System; University of California San Diego; Korea Institute of Geoscience &amp; Mineral Resources (KIGAM)</t>
  </si>
  <si>
    <t>Jull, AJT (corresponding author), Univ Arizona, NSF Arizona AMS Lab, Phys Bldg,1118 E 4th St, Tucson, AZ 85721 USA.</t>
  </si>
  <si>
    <t>jull@email.arizona.edu</t>
  </si>
  <si>
    <t>Wieler, Rainer/A-1355-2010; Freeman, Stewart/AAA-6544-2020</t>
  </si>
  <si>
    <t>Freeman, Stewart/0000-0001-6148-3171; Maden, Colin/0000-0002-6644-9535; Kim, Kyeong J/0000-0001-6220-8411; Wieler, Rainer/0000-0001-5666-7494</t>
  </si>
  <si>
    <t>1945-5100</t>
  </si>
  <si>
    <t>10.1111/j.1945-5100.2007.tb00541.x</t>
  </si>
  <si>
    <t>253PI</t>
  </si>
  <si>
    <t>WOS:000252529700011</t>
  </si>
  <si>
    <t>Pawlowski, J; Fahrni, J; Lecroq, B; Longet, D; Cornelius, N; Excoffier, L; Cedhagen, T; Gooday, AJ</t>
  </si>
  <si>
    <t>Pawlowski, J.; Fahrni, J.; Lecroq, B.; Longet, D.; Cornelius, N.; Excoffier, L.; Cedhagen, T.; Gooday, A. J.</t>
  </si>
  <si>
    <t>Bipolar gene flow in deep-sea benthic foraminifera</t>
  </si>
  <si>
    <t>deep-sea diversity; geographical distribution; ITS rDNA; meiofauna; protists</t>
  </si>
  <si>
    <t>PACIFIC HYDROTHERMAL VENTS; RIBOSOMAL DNA-SEQUENCES; MOLECULAR EVIDENCE; MONOTHALAMOUS FORAMINIFERAN; PLANKTONIC FORAMINIFERS; EUKARYOTIC DIVERSITY; CRYPTIC SPECIATION; GLOBAL DISPERSAL; WEDDELL SEA; BIODIVERSITY</t>
  </si>
  <si>
    <t>Despite its often featureless appearance, the deep-ocean floor includes some of the most diverse habitats on Earth. However, the accurate assessment of global deep-sea diversity is impeded by a paucity of data on the geographical ranges of bottom-dwelling species, particularly at the genetic level. Here, we present molecular evidence for exceptionally wide distribution of benthic foraminifera, which constitute the major part of deep-sea meiofauna. Our analyses of nuclear ribosomal RNA genes revealed high genetic similarity between Arctic and Antarctic populations of three common deep-sea foraminiferal species (Epistominella exigua, Cibicides wuellerstorfi and Oridorsalis umbonatus), separated by distances of up to 17 000 km. Our results contrast with the substantial level of cryptic diversity usually revealed by molecular studies, of shallow-water benthic and planktonic marine organisms. The very broad ranges of the deep-sea foraminifera that we examined support the hypothesis of global distribution of small eukaryotes and suggest that deep-sea biodiversity may be more modest at global scales than present estimates suggest.</t>
  </si>
  <si>
    <t>Univ Geneva, Dept Zool &amp; Anim Biol, CH-1211 Geneva, Switzerland; Nat Hist Museum, London, England; Univ Bern, Inst Zool, CH-3012 Bern, Switzerland; Univ Aarhus, Dept Ecol, DK-8000 Aarhus, Denmark; Natl Oceanog Ctr Southampton, Southampton SO14 3ZH, Hants, England</t>
  </si>
  <si>
    <t>University of Geneva; Natural History Museum London; University of Bern; Aarhus University; NERC National Oceanography Centre; University of Southampton</t>
  </si>
  <si>
    <t>Pawlowski, J (corresponding author), Univ Geneva, Dept Zool &amp; Anim Biol, 30,Quai Ernest Anserment, CH-1211 Geneva, Switzerland.</t>
  </si>
  <si>
    <t>jan.pawlowski@zoo.unige.ch</t>
  </si>
  <si>
    <t>Excoffier, Laurent/D-3498-2013; Gooday, Andrew/AAH-8991-2021; Gooday, Andrew/ABB-4267-2020; Cedhagen, Tomas/J-6426-2013</t>
  </si>
  <si>
    <t>Excoffier, Laurent/0000-0002-7507-6494; Gooday, Andrew/0000-0002-5661-7371; Cedhagen, Tomas/0000-0003-4550-8177</t>
  </si>
  <si>
    <t>NERC [soc010009] Funding Source: UKRI; Natural Environment Research Council [soc010009] Funding Source: researchfish</t>
  </si>
  <si>
    <t>10.1111/j.1365-294X.2007.03465.x</t>
  </si>
  <si>
    <t>215SO</t>
  </si>
  <si>
    <t>WOS:000249829500011</t>
  </si>
  <si>
    <t>Mikhalsky, EV</t>
  </si>
  <si>
    <t>Mikhalsky, E. V.</t>
  </si>
  <si>
    <t>Neoproterozoic and Early Paleozoic Geological Complexes of Eastern Antarctica: Composition and Origin</t>
  </si>
  <si>
    <t>MOSCOW UNIVERSITY GEOLOGY BULLETIN</t>
  </si>
  <si>
    <t>PRINCE-CHARLES MOUNTAINS; DRONNING MAUD LAND; LARSEMANN-HILLS; AGE; METAMORPHISM; EVENTS</t>
  </si>
  <si>
    <t>Geological and geochemical data on Neoproterozoic and Early Paleozoic metamorphic and igneous complexes of East Antarctica are considered. Sedimentation and formation of mafic dikes in the Neoproterozoic point to dominant extension through most of the Antarctic Shield, although no indications of advanced rifting and opening of deep basins have been established so far. As well, no distinct evidence for large-scale Early Paleozoic convergence accompanied by closure of oceanic basins, which would be reflected in particular geological complexes of East Antarctica, has been recorded. The Early Paleozoic development peak is related to thermal and intrusive consequences of tectonic activation that determined structural reworking and repeated metamorphism of host Grenvillian complexes. The main phase of the Early Paleozoic tectogenesis may be interpreted as an intraplate response to the oblique collision of large continental blocks that occurred beyond present-day Antarctica and was accompanied by underplating of mantle material at the base of the crust.</t>
  </si>
  <si>
    <t>[Mikhalsky, E. V.] All Russian Res Inst Geol &amp; Mineral Resources Wor, Angliiskii Pr 1,St, St Petersburg 190121, Russia</t>
  </si>
  <si>
    <t>A.P. Karpinsky Russian Geological Research Institute (VSEGEI)</t>
  </si>
  <si>
    <t>Mikhalsky, EV (corresponding author), All Russian Res Inst Geol &amp; Mineral Resources Wor, Angliiskii Pr 1,St, St Petersburg 190121, Russia.</t>
  </si>
  <si>
    <t>emikhalsky@mail.ru</t>
  </si>
  <si>
    <t>Federal Purposeful Program The World Ocean (Subprogram The Study of Antarctica)</t>
  </si>
  <si>
    <t>I am grateful to A. A. Laiba (Federal Geological Unitary Research-Industrial Enterprise Polar Murmansk Geological-Prospecting Expedition for kindly donated materials and samples. Field studies in the southern Prince Charles Mountains were carried out in the framework of the International Expedition PCMEGA 2002/2003. The work was supported by the Federal Purposeful Program The World Ocean (Subprogram The Study of Antarctica).</t>
  </si>
  <si>
    <t>0145-8752</t>
  </si>
  <si>
    <t>1934-8436</t>
  </si>
  <si>
    <t>MOSC UNIV GEOL BULL</t>
  </si>
  <si>
    <t>Mosc. Univ. Geol. Bull.</t>
  </si>
  <si>
    <t>10.3103/S0145875207050018</t>
  </si>
  <si>
    <t>V2O1W</t>
  </si>
  <si>
    <t>WOS:000217758300001</t>
  </si>
  <si>
    <t>Voinov, GI</t>
  </si>
  <si>
    <t>Voinov, G. I.</t>
  </si>
  <si>
    <t>Lunar monthly and fortnightly tides in the Russian Arctic Seas</t>
  </si>
  <si>
    <t>OCEANOLOGY</t>
  </si>
  <si>
    <t>Characteristic features of the spatial distribution of monthly and fortnightly tides in the Barents, Kara, Laptev, East Siberian, and Chukchi seas are considered on the basis of a harmonic analysis of multiannual observations of the sea level at 57 stations. The amplitude and phase responses are close to the static values only for the monthly tide in the Barents Sea. In the Kara Sea, the dynamic component of the tide becomes traceable. The tide demonstrates a dynamical behavior throughout the remaining area. The fortnightly tide demonstrates a clearly expressed dynamical behavior with an increasing progressive type of the wave from the west to the east.</t>
  </si>
  <si>
    <t>Arctic &amp; Antarctic Res Inst, St Petersburg 199226, Russia</t>
  </si>
  <si>
    <t>Voinov, GI (corresponding author), Arctic &amp; Antarctic Res Inst, St Petersburg 199226, Russia.</t>
  </si>
  <si>
    <t>voinov@aari.aw.ru</t>
  </si>
  <si>
    <t>Voinov, Gennadiy/E-6141-2016</t>
  </si>
  <si>
    <t>Voinov, Gennadiy/0000-0003-1657-049X</t>
  </si>
  <si>
    <t>0001-4370</t>
  </si>
  <si>
    <t>1531-8508</t>
  </si>
  <si>
    <t>OCEANOLOGY+</t>
  </si>
  <si>
    <t>Oceanology</t>
  </si>
  <si>
    <t>10.1134/S0001437007050049</t>
  </si>
  <si>
    <t>245XD</t>
  </si>
  <si>
    <t>WOS:000251971200004</t>
  </si>
  <si>
    <t>Bogorodskii, PV; Marchenko, AV; Pnyushkov, AV</t>
  </si>
  <si>
    <t>Bogorodskii, P. V.; Marchenko, A. V.; Pnyushkov, A. V.</t>
  </si>
  <si>
    <t>Thermodynamics of freezing puddles in the autumn-winter period</t>
  </si>
  <si>
    <t>SEA-ICE; SUMMER</t>
  </si>
  <si>
    <t>The results of the field observation of freezing melted puddles on the drift ice in the Arctic Basin carried out in July-September of 2005 during cruise 23 of R/V Akademik Fedorov are analyzed, and a thermodynamical model of the process based on these results is developed. The essential features of the evolution of puddles in the period of autumn cooling were revealed. The unfrozen liquid layer was shown to be a qualitative component of the system that defines its behavior as a whole. We concluded that the sea ice growing from below is absent until the thickness of the frozen water reaches a critical value that is determined by its initial salinity.</t>
  </si>
  <si>
    <t>[Bogorodskii, P. V.; Marchenko, A. V.; Pnyushkov, A. V.] Arctic &amp; Antarctic Res Inst, St Petersburg 199226, Russia; [Marchenko, A. V.] Russian Acad Sci, Prokhorov Inst Gen Phys, Moscow, Russia; [Marchenko, A. V.] Svalbard Univ Ctr, Longyear, Norway</t>
  </si>
  <si>
    <t>Arctic &amp; Antarctic Research Institute; Russian Academy of Sciences; Prokhorov General Physics Institute of the Russian Academy of Sciences</t>
  </si>
  <si>
    <t>Bogorodskii, PV (corresponding author), Arctic &amp; Antarctic Res Inst, St Petersburg 199226, Russia.</t>
  </si>
  <si>
    <t>vivanv@aari.nw.ru</t>
  </si>
  <si>
    <t>Marchenko, Aleksey/GSD-3516-2022; Pnyushkov, Andrey/M-3156-2019; Bogorodskii, Petr/J-4213-2014; Pnyushkov, Andrey/J-4153-2014</t>
  </si>
  <si>
    <t>Marchenko, Aleksey/0000-0003-4169-0063; Pnyushkov, Andrey/0000-0001-9112-6458; Pnyushkov, Andrey/0000-0001-9112-6458</t>
  </si>
  <si>
    <t>10.1134/S0001437007050050</t>
  </si>
  <si>
    <t>WOS:000251971200005</t>
  </si>
  <si>
    <t>Hinke, JT; Salwicka, K; Trivelpiece, SG; Watters, GM; Trivelpiece, WZ</t>
  </si>
  <si>
    <t>Hinke, JeVerson T.; Salwicka, Kasia; Trivelpiece, Susan G.; Watters, George M.; Trivelpiece, Wayne Z.</t>
  </si>
  <si>
    <t>Divergent responses of Pygoscelis penguins reveal a common environmental driver</t>
  </si>
  <si>
    <t>climate change; ecosystem monitoring; life history; prey availability; recruitment; scotia sea; sea ice; survival; winter</t>
  </si>
  <si>
    <t>SOUTH-ORKNEY ISLANDS; KING-GEORGE-ISLAND; SEA-ICE EXTENT; GENTOO PENGUINS; REPRODUCTIVE SUCCESS; POPULATION-DYNAMICS; CHINSTRAP PENGUINS; ADELIE PENGUINS; CLIMATE-CHANGE; EUPHAUSIA-SUPERBA</t>
  </si>
  <si>
    <t>The responses of predators to environmental variability in the Antarctic Peninsula region have exhibited divergent patterns owing to variation in the geographic settings of colonies and predator life-history strategies. Five breeding colonies of Pygoscelis penguins from King George Island and Livingston Island, South Shetland Islands, Antarctica, were examined to (1) compare the responses of sympatric congeners to recent changes in their Antarctic ecosystem and (2) assess underlying causes for such responses. We used linear regression and correlation analyses to compare indices of abundance, recruitment, and summer breeding performance of the Adelie (P. adeliae), gentoo (P. papua), and chinstrap penguins (P. antarctica). Breeding colonies of Adelie and chinstrap penguins have declined by roughly 50% since the mid-1970s, and recruitment indices of Adelie penguins have declined by roughly 80%, but no such patterns are evident for gentoo penguins. Fledging success, however, has remained stable at all breeding colonies. The different trends in abundance and recruitment indices for each species, despite generally similar indices of summer performance, suggest that winter conditions contribute to the divergent responses among the penguins. In particular, strong correlations between indices of penguin and krill recruitment suggest that penguins in the South Shetland Islands may live under an increasingly krill-limited system that has disproportionate effects on the survival of juvenile birds.</t>
  </si>
  <si>
    <t>SW Fisheries Sci Ctr, Natl Ocean &amp; Atmospher Adm, Antarct Ecosyst res Div, La Jolla, CA 92037 USA; Polish Acad Sci, Dept Antarct Biol, PL-02141 Warsaw, Poland; NOAA, SWFSC, Protected Resources Div, Pacific Grove, CA 93950 USA</t>
  </si>
  <si>
    <t>National Oceanic Atmospheric Admin (NOAA) - USA; Polish Academy of Sciences; National Oceanic Atmospheric Admin (NOAA) - USA</t>
  </si>
  <si>
    <t>Hinke, JT (corresponding author), SW Fisheries Sci Ctr, Natl Ocean &amp; Atmospher Adm, Antarct Ecosyst res Div, La Jolla, CA 92037 USA.</t>
  </si>
  <si>
    <t>Jefferson.Hinke@noaa.gov</t>
  </si>
  <si>
    <t>Watters, George/HPE-2184-2023; , Jefferson/AAG-1702-2021</t>
  </si>
  <si>
    <t>Watters, George/0000-0002-6989-1273; , Jefferson/0000-0002-3600-1414</t>
  </si>
  <si>
    <t>10.1007/s00442-007-0781-4</t>
  </si>
  <si>
    <t>209RZ</t>
  </si>
  <si>
    <t>WOS:000249407000006</t>
  </si>
  <si>
    <t>Proffitt, KM; Garrott, RA; Rotella, JJ; Wheatley, KE</t>
  </si>
  <si>
    <t>Proffitt, Kelly M.; Garrott, Robert A.; Rotella, Jay J.; Wheatley, Kathryn E.</t>
  </si>
  <si>
    <t>Environmental and senescent related variations in Weddell seal body mass: implications for age-specific reproductive performance</t>
  </si>
  <si>
    <t>OIKOS</t>
  </si>
  <si>
    <t>SOUTHERN ELEPHANT SEALS; ROSS SEA; FORAGING EFFORT; MATERNAL MASS; WEANING MASS; EL-NINO; CLIMATE; ICE; SURVIVAL; SUCCESS</t>
  </si>
  <si>
    <t>Recent studies have found age-specific variations in reproductive performance amongst Weddell seals, Leptonychotes weddellii, and we hypothesized age-related variations in maternal body mass as a mechanism linking maternal age and the observed patterns of reproductive performance. We evaluated the effects of maternal traits such as age and reproductive experience and the effects of environmental variations on maternal body mass at parturition. Maternal body mass at parturition showed substantial age- and environmental-related variations. Maternal body mass increased with age through the young and middle ages, and evidence of senescent declines in body mass was found amongst the oldest ages. Additionally, body mass at parturition was strongly influenced by environmental variations during the pregnancy period, specifically sea-ice extent and the state of the El-Nino Southern Oscillation. Patterns of age-specific variations in body mass were consistent with age-specific patterns of offspring survival probability, which supported our hypothesis that changes in body mass link maternal age and reproductive performance in the Weddell seal. Further, environmental conditions during pregnancy may be an important component of Weddell seal reproductive performance.</t>
  </si>
  <si>
    <t>Montana State Univ, Dept Ecol, Bozeman, MT 59717 USA; Univ Tasmania, Sch Zool, Antarctic Wildlife Res Unit, Hobart, Tas 7001, Australia</t>
  </si>
  <si>
    <t>Montana State University System; Montana State University Bozeman; University of Tasmania</t>
  </si>
  <si>
    <t>Proffitt, KM (corresponding author), Montana State Univ, Dept Ecol, 310 Lewis Hall, Bozeman, MT 59717 USA.</t>
  </si>
  <si>
    <t>proffitt@montana.edu</t>
  </si>
  <si>
    <t>Rotella, Jay/0000-0001-7014-7524</t>
  </si>
  <si>
    <t>0030-1299</t>
  </si>
  <si>
    <t>1600-0706</t>
  </si>
  <si>
    <t>Oikos</t>
  </si>
  <si>
    <t>10.1111/j.2007.0030-1299.16139.x</t>
  </si>
  <si>
    <t>210ZC</t>
  </si>
  <si>
    <t>WOS:000249493100009</t>
  </si>
  <si>
    <t>Raman spectroscopic approach to analytical astrobiology: The detection of key biomolecular markers in the search for life</t>
  </si>
  <si>
    <t>ORIGINS OF LIFE AND EVOLUTION OF BIOSPHERES</t>
  </si>
  <si>
    <t>International School of Complexity</t>
  </si>
  <si>
    <t>OCT 01-06, 2006</t>
  </si>
  <si>
    <t>Raman spectroscopy; spectral biomarkers; protectant biosignatures; biogeological modification; ExoMars search for traces of life mission</t>
  </si>
  <si>
    <t>ANTARCTIC HABITATS; MARS; FOSSILS; ORIGIN</t>
  </si>
  <si>
    <t>The recognition of extinct or extant life signatures in the terrestrial geological record is fundamentally dependent upon the understanding of both the structural morphology and chemical composition of relict biomaterials; the identification of cyanobacterial colonies that have adapted biogeologically their mineral matrices in early evolutionary processes is a fundamental step in the acquisition of analytical data from remote planetary probes designed for life-detection experiments, particularly on Mars and on the planetary satellite moons, Europa and Titan. A key factor in the assessment of early life signatures is the molecular presence of chemicals designed to protect the emerging organisms from the damaging effect of radiation exposure and of desiccation and temperature changes; in this respect the non-destructive capability of Raman spectroscopy to delineate the interfacial interactions between substrates and endolithic biology is now deemed an essential part of the ExoMars life-detection suite of instrumentation planned by the European Space Agency in the AURORA programme. A description of the scientific basis for the biogeological discrimination offered by Raman spectroscopy between organic and inorganic moieties in specimens from terrestrial Mars analogue sites is followed by selected examples of the type of analytical information provided, which will be complementary to the elementary and microscopic data obtained from other instrumentation on the same mission.</t>
  </si>
  <si>
    <t>Univ Bradford, Sch Life Sci, Ctr Astrobiol &amp; Extremophiles Res, Univ Analyt Ctr, Bradford BD7 1DP, W Yorkshire, England</t>
  </si>
  <si>
    <t>Edwards, HGM (corresponding author), Univ Bradford, Sch Life Sci, Ctr Astrobiol &amp; Extremophiles Res, Univ Analyt Ctr, Bradford BD7 1DP, W Yorkshire, England.</t>
  </si>
  <si>
    <t>0169-6149</t>
  </si>
  <si>
    <t>ORIGINS LIFE EVOL B</t>
  </si>
  <si>
    <t>Orig. Life Evol. Biosph.</t>
  </si>
  <si>
    <t>4-5</t>
  </si>
  <si>
    <t>10.1007/s11084-007-9079-0</t>
  </si>
  <si>
    <t>202MF</t>
  </si>
  <si>
    <t>WOS:000248905100007</t>
  </si>
  <si>
    <t>Raven, JA; Larkum, AWD</t>
  </si>
  <si>
    <t>Raven, J. A.; Larkum, A. W. D.</t>
  </si>
  <si>
    <t>Are there ecological implications for the proposed energetic restrictions on photosynthetic oxygen evolution at high oxygen concentrations?</t>
  </si>
  <si>
    <t>PHOTOSYNTHESIS RESEARCH</t>
  </si>
  <si>
    <t>cyanobacteria; diatoms; evolution; green algae; oxygen inhibition; oxygen radicals; photo-lithotrophy; photosystem II; ribulose-1,5-bisphosphate carboxylase-oxygenase</t>
  </si>
  <si>
    <t>EXTERNAL CO2 CONCENTRATION; PROTON MOTIVE FORCE; ANTARCTIC SEA-ICE; FIELD DELTA-PSI; ATMOSPHERIC OXYGEN; HYDROSTATIC-PRESSURE; WATER OXIDATION; PHOTOSYSTEM-II; MARINE DIATOM; CHLAMYDOMONAS-REINHARDTII</t>
  </si>
  <si>
    <t>It has recently been shown that, in subthylakoid particles prepared using detergent, there is inhibition of oxygen production reactions in photosynthesis by thermodynamic feedback from oxygen build-up, with 50% inhibition at 230 kPa partial pressure of oxygen. This article presents a comprehensive analysis of laboratory data on the effects of high oxygen partial pressures on photosynthesis, and on photo-lithotrophic and chemo-organotrophic growth, of oxygen-producing organisms. The article also contains an analysis of the extent to which high oxygen concentrations occur at the site of photosystem II (PSII) activity under natural conditions today and in the past. The conclusion is that the oxygen concentrations found in nature are very unlikely to reach that needed to cause 50% inhibition of the photosynthetic oxygen production reaction in subthylakoid particles, but that it is just possible that a small part of the inhibition of photosynthesis and of photo-lithotrophic growth by oxygen can be attributed to inhibition of oxygen production by PSII.</t>
  </si>
  <si>
    <t>Univ Dundee, Scottish Crop Res Inst, Plant Res Unit, Dundee DD2 5DA, Scotland; Univ Sydney, Sch Biol Sci, Sydney, NSW 2006, Australia</t>
  </si>
  <si>
    <t>James Hutton Institute; University of Dundee; University of Sydney</t>
  </si>
  <si>
    <t>Raven, JA (corresponding author), Univ Dundee, Scottish Crop Res Inst, Plant Res Unit, Dundee DD2 5DA, Scotland.</t>
  </si>
  <si>
    <t>j.a.raven@dundee.ac.uk</t>
  </si>
  <si>
    <t>Raven, John/JFS-3447-2023</t>
  </si>
  <si>
    <t>0166-8595</t>
  </si>
  <si>
    <t>1573-5079</t>
  </si>
  <si>
    <t>PHOTOSYNTH RES</t>
  </si>
  <si>
    <t>Photosynth. Res.</t>
  </si>
  <si>
    <t>10.1007/s11120-007-9211-z</t>
  </si>
  <si>
    <t>202OR</t>
  </si>
  <si>
    <t>WOS:000248913400004</t>
  </si>
  <si>
    <t>Fermani, P; Mataloni, G; Van de Vijver, B</t>
  </si>
  <si>
    <t>Fermani, Paulina; Mataloni, Gabriela; Van de Vijver, Bart</t>
  </si>
  <si>
    <t>Soil microalgal communities on an antarctic active volcano (Deception Island, South Shetlands)</t>
  </si>
  <si>
    <t>Antarctica; soil algae; community; colonization; disturbance</t>
  </si>
  <si>
    <t>LA POSSESSION CROZET; FRESH-WATER; SEASONAL PERIODICITY; DIATOM COMMUNITIES; ALGAL COMMUNITIES; FELLFIELD SOILS; CIERVA POINT; BACILLARIOPHYTA; PENINSULA; DIVERSITY</t>
  </si>
  <si>
    <t>Contemporary eruptive episodes and present volcanic activity at Deception Island have created a mosaic of different environmental conditions. In this study, the microalgal communities inhabiting 18 sites differing in geology, degree of disturbance and physico-chemical features (texture, water, organic matter and nutrient contents) were characterized in terms of composition, species richness and biomass. One hundred and forty taxa were recorded, with richest communities associated with stable sites and some of the poorest ones in locations affected by recent eruptions. In accordance, a canonical correspondence analysis ordinated species and sites along the first axis according to the percentage of coarse particles, and degree of disturbance (eigenvalues 0.79 and 0.65, P = 0.04). Results of a cluster analysis grouped firstly those algal taxa with high fidelity to one set of environmental conditions, while ubiquitous ones had the lowest similarity values. These taxa, mainly filamentous Cyanobacteria and diatoms, are the only colonizers of harsher or recently formed environments.</t>
  </si>
  <si>
    <t>Univ Buenos Aires, Fac Ciencias Exactas &amp; Nat, Dept Ecol Genet &amp; Evoluc, Buenos Aires, DF, Argentina; Consejo Nacl Invest Cient &amp; Tecn, RA-1033 Buenos Aires, DF, Argentina; Natl Bot Garden Belgium, Dept Bryophytes &amp; Thallophytes, B-1860 Domein Van Bouchout, Meise, Belgium</t>
  </si>
  <si>
    <t>University of Buenos Aires; Consejo Nacional de Investigaciones Cientificas y Tecnicas (CONICET)</t>
  </si>
  <si>
    <t>Mataloni, G (corresponding author), Univ Buenos Aires, Fac Ciencias Exactas &amp; Nat, Dept Ecol Genet &amp; Evoluc, Buenos Aires, DF, Argentina.</t>
  </si>
  <si>
    <t>gm@ege.fcen.uba.ar</t>
  </si>
  <si>
    <t>Mataloni, Gabriela/0000-0002-6852-6143</t>
  </si>
  <si>
    <t>10.1007/s00300-007-0299-6</t>
  </si>
  <si>
    <t>208GC</t>
  </si>
  <si>
    <t>WOS:000249306800003</t>
  </si>
  <si>
    <t>Huang, YM; Amsler, MO; McClintock, JB; Amsler, CD; Baker, BJ</t>
  </si>
  <si>
    <t>Huang, Yusheng M.; Amsler, Margaret O.; McClintock, James B.; Amsler, Charles D.; Baker, Bill J.</t>
  </si>
  <si>
    <t>Patterns of gammaridean amphipod abundance and species composition associated with dominant subtidal macroalgae from the western Antarctic Peninsula</t>
  </si>
  <si>
    <t>Macroalgae; amphipod; gammaridean; Antarctic Peninsula; community structure</t>
  </si>
  <si>
    <t>FISH NOTOTHENIA-CORIICEPS; CHEMICAL DEFENSE; PREDATION; ECOLOGY; HABITAT; ROLES; FOOD; PALATABILITY; ARCHITECTURE; SELECTIVITY</t>
  </si>
  <si>
    <t>The communities of gammaridean amphipods associated with eight dominant macroalgal species were examined near Palmer Station, Western Antarctic Peninsula. A total of 78,415 individuals belonging to 32 amphipod taxa were identified with mean densities ranging up to 20 individuals/g algal wet wt. The most abundant amphipod taxon, Metaleptamphopus pectinatus, was found to associate predominately with the brown alga Desmarestia menziesii, while the second most common taxon, Jassa spp. occurred primarily on the red alga Gigartina skottsbergii. Non-metric multidimensional scaling analysis demonstrated that the population densities of each amphipod species and amphipod species composition were similar on the same algal species but dissimilar on different species of algae. Comparisons of amphipod communities associated with a given algal species but from different sampling sites indicated that although the structure of species-specific macroalgal-associated amphipod communities can vary across spatial scales of 3 km, 50% of the macroalgal species examined showed no significant inter-site differences in associated amphipod community structure. Spearman rank correlation analyses showed that higher abundances of amphipods occurred on the macroalgae with the highest number of branches. As many Antarctic amphipods are known consumers of macroalgae, their remarkable abundances are likely to play a significant role in mediating energy and nutrient transfer in nearshore Antarctic Peninsular macroalgal communities.</t>
  </si>
  <si>
    <t>Univ Alabama Birmingham, Dept Biol, Birmingham, AL 35294 USA; Univ S Florida, Dept Chem, Tampa, FL 33620 USA</t>
  </si>
  <si>
    <t>Huang, YM (corresponding author), Univ Alabama Birmingham, Dept Biol, Birmingham, AL 35294 USA.</t>
  </si>
  <si>
    <t>yusheng@uab.edu</t>
  </si>
  <si>
    <t>Baker, Bill/N-4312-2019; Huang, Yusheng M/H-9407-2014</t>
  </si>
  <si>
    <t>10.1007/s00300-007-0303-1</t>
  </si>
  <si>
    <t>WOS:000249306800006</t>
  </si>
  <si>
    <t>Blix, AS; Nordoy, ES</t>
  </si>
  <si>
    <t>Blix, Arnoldus Schytte; Nordoy, Erling S.</t>
  </si>
  <si>
    <t>Ross seal (Ommatophoca rossii) annual distribution, diving behaviour, breeding and moulting, off Queen Maud Land, Antarctica</t>
  </si>
  <si>
    <t>Antarctic; squid; krill; myctophid fish; southern Ocean; diving; pack-ice</t>
  </si>
  <si>
    <t>PACK-ICE</t>
  </si>
  <si>
    <t>Six out of ten adult Ross seals that were tagged with Argos satellite-linked dive recorders off Queen Maud Land, just after the moult in February, provided data on location and diving activity throughout a year. Shortly after tagging, the animals headed 2,000 km north and stayed pelagic in the area south of the Antarctic Polar Front, until October when they went south into the pack-ice. Throughout the year they made about 100 dives a day, most to a depth of 100-300 m, the deepest dive on record being 792 m, while some dives were very shallow during their stay in the pack-ice. Most dives, outside the breeding and moulting period, lasted for 5-15 min throughout the year. This diving behaviour is consistent with feeding on mid-water fish, like Pleurogramma antarcticum, squid, and to some extent krill (Euphausia superba), when in the pack-ice, and myctophid fish and several species of squid, when in the open ocean. The nursing period was 13 days in mid-November, and moulting occurs in late January-early February, which is the period when sightings surveys for this species should be done.</t>
  </si>
  <si>
    <t>Univ Tromso, Dept Arctic Biol, N-9037 Tromso, Norway</t>
  </si>
  <si>
    <t>UiT The Arctic University of Tromso</t>
  </si>
  <si>
    <t>Blix, AS (corresponding author), Univ Tromso, Dept Arctic Biol, N-9037 Tromso, Norway.</t>
  </si>
  <si>
    <t>asblix@fagmed.uit.no</t>
  </si>
  <si>
    <t>10.1007/s00300-007-0306-y</t>
  </si>
  <si>
    <t>WOS:000249306800009</t>
  </si>
  <si>
    <t>Lange, PK; Tenenbaum, DR; Braga, ED; Campos, LS</t>
  </si>
  <si>
    <t>Lange, Priscila Kienteca; Tenenbaum, Denise Rivera; Braga, Elisabete de Santis; Campos, Lucia S.</t>
  </si>
  <si>
    <t>Microphytoplankton assemblages in shallow waters at Admiralty Bay (King George Island, Antarctica) during the summer 2002-2003</t>
  </si>
  <si>
    <t>microphytoplankton; nearshore waters; temporal and spatial variation; Antarctica</t>
  </si>
  <si>
    <t>WEDDELL-SEA; INDIAN SECTOR; PHYTOPLANKTON; STATION; VARIABILITY; CHLOROPHYLL; SEDIMENTS; COPEPOD; BIOMASS; DIATOMS</t>
  </si>
  <si>
    <t>Microphytoplankton populations were studied in shallow coastal water (&lt; 60 m) near the Brazilian Antarctic Station Comandante Ferraz (EACF) and three reference areas in Admiralty Bay in early and late summer (2002-2003). Phytoplankton was diverse (113 taxa), but not abundant (10(3) cells l(-1)). The highest abundances (&gt; 10(4) cells l(-1)) were caused by pennate benthic diatoms (Fragilaria striatula Lyngbye) that occurred mainly in early summer, associated with the presence of ice. In late summer, when the water temperature (-0.4 to 1.5 degrees C), salinity (34 to 35), and phosphate (2.6 to 4.5 mu mol l(-1)) were highest and the dissolved oxygen was lowest (6.4 to 2.9 ml l-1), centric diatoms (Thalassiosira spp.) were more abundant, suggesting an influence of oceanic waters. Phytoplankton abundance (&lt;= 10(2) cells l(-1)) and chlorophyll a concentrations (0.22 mu g l(-1)) were lowest close to EACF. Pennate diatoms were dominant close to shore and in surface waters elsewhere, probably because of ice melting or sediment resuspension caused by water mixing.</t>
  </si>
  <si>
    <t>Univ Fed Rio de Janeiro, Inst Biol, Dept Biol Marinha, BR-21941590 Rio De Janeiro, Brazil; Univ Sao Paulo, Inst Oceanograf, Sao Paulo, Brazil; Univ Fed Rio de Janeiro, Inst Biol, Dept Zool, Lab Echinodermata, Rio De Janeiro, Brazil</t>
  </si>
  <si>
    <t>Universidade Federal do Rio de Janeiro; Universidade de Sao Paulo; Universidade Federal do Rio de Janeiro</t>
  </si>
  <si>
    <t>Lange, PK (corresponding author), Univ Fed Rio de Janeiro, Inst Biol, Dept Biol Marinha, Cidade Univ CCS A, BR-21941590 Rio De Janeiro, Brazil.</t>
  </si>
  <si>
    <t>prilange@gmail.com</t>
  </si>
  <si>
    <t>Lange, Priscila/Q-4106-2019; Braga, Elisabete/E-5285-2012; Campos, Lucia/L-9539-2013</t>
  </si>
  <si>
    <t>Braga, Elisabete/0000-0001-5780-3814; Kienteca Lange, Priscila/0000-0003-2136-2273; Campos, Lucia/0000-0002-3648-7450</t>
  </si>
  <si>
    <t>10.1007/s00300-007-0309-8</t>
  </si>
  <si>
    <t>WOS:000249306800012</t>
  </si>
  <si>
    <t>Brinkmann, M; Pearce, DA; Convey, P; Ott, S</t>
  </si>
  <si>
    <t>Brinkmann, Marcus; Pearce, David A.; Convey, Peter; Ott, Sieglinde</t>
  </si>
  <si>
    <t>The cyanobacterial community of polygon soils at an inland Antarctic nunatak</t>
  </si>
  <si>
    <t>microbiota; microbial diversity; TGGE; clone library; Alexander Island</t>
  </si>
  <si>
    <t>GRADIENT GEL-ELECTROPHORESIS; EDAPHIC FACTORS; DIVERSITY; ALGAE</t>
  </si>
  <si>
    <t>Inland Antarctic terrestrial ecosystems and biodiversity are poorly understood in comparison with Antarctic coastal regions. Microorganisms, as primary colonists, are integral to Antarctic soil ecosystem development, essential for pedogenesis and structuring the soil, and providing the nutrients necessary for the subsequent establishment of macroorganisms. This study analysed the microbial communities present in polygon soils of Coal Nunatak (Alexander Island, at the southern limit of the maritime Antarctic). Soils were analysed across three polygons (centre and margins) and at three depths (0-1, 1-2, 2-5 cm). Cyanobacterial communities were characterised using two complementary molecular biological approaches, temperature gradient gel electrophoresis and clone library analysis. The three polygons exhibited conspicuous differences in community composition, both between different polygons and spatially (horizontally and vertically) within a single polygon. Comparison of our data with that from previous studies using classical culture and morphological identification techniques clearly shows the need for more intensive research on patterns of microbial diversity in terrestrial habitats throughout the Antarctic. The majority of the 17 cyanobacterial genera identified at Coal Nunatak are thought to have ubiquitous distributions, while none are known only from the Antarctic. Three of the genera present are also known to be capable of being lichen photobionts.</t>
  </si>
  <si>
    <t>Univ Dusseldorf, Inst Bot, D-40225 Dusseldorf, Germany; British Antarctic Survey, NERC, Cambridge CB3 0ET, England</t>
  </si>
  <si>
    <t>Heinrich Heine University Dusseldorf; UK Research &amp; Innovation (UKRI); Natural Environment Research Council (NERC); NERC British Antarctic Survey</t>
  </si>
  <si>
    <t>Ott, S (corresponding author), Univ Dusseldorf, Inst Bot, Univ Str 1, D-40225 Dusseldorf, Germany.</t>
  </si>
  <si>
    <t>otts@uni-duesseldorf.de</t>
  </si>
  <si>
    <t>Convey, Peter/0000-0001-8497-9903; Pearce, David/0000-0001-5292-4596</t>
  </si>
  <si>
    <t>10.1007/s00300-007-0311-1</t>
  </si>
  <si>
    <t>WOS:000249306800014</t>
  </si>
  <si>
    <t>Roscoe, HK; Haigh, JD</t>
  </si>
  <si>
    <t>Roscoe, Howard K.; Haigh, Joanna D.</t>
  </si>
  <si>
    <t>Influences of ozone depletion, the solar cycle and the QBO on the Southern Annular Mode</t>
  </si>
  <si>
    <t>QUARTERLY JOURNAL OF THE ROYAL METEOROLOGICAL SOCIETY</t>
  </si>
  <si>
    <t>SAM; stratosphere; troposphere; ozone hole; Antarctic</t>
  </si>
  <si>
    <t>HEMISPHERE CLIMATE-CHANGE; INTERANNUAL VARIABILITY; STRATOSPHERE; CIRCULATION; OSCILLATION; TROPOSPHERE; TEMPERATURE; TRENDS; SIGNAL; IMPACT</t>
  </si>
  <si>
    <t>We present results of multiple regressions of the leading mode of atmospheric variability at southern high latitudes: the Southern Annular Mode (SAM). It is regressed against indices with large interannual variability, and one of several trend indices in order to determine which trend term gives the optimum fit. We use SAM in sea-level pressure from station data in order to provide a long time series, from 1957 to 2005. The regression indices are stratospheric volcanic aerosol, solar activity, the quasi-biennial oscillation (QBO), the El Nino-Southern Oscillation, together with either a linear trend, or the effective equivalent stratospheric chlorine (EESC) that depletes polar ozone, or ozone mass deficit (OMD) in the Antarctic vortex. We find a statistically significant signal for volcanic aerosol, and, when the solar and QBO indices are represented by their product, a highly significant response to the product. We find a significant linear trend in SAM, but there is a major increase in significance using EESC(2) and a further increase using OMD. We make no direct attempt to identify cause and effect, but if the trend is due to human influence then ozone loss is at least 9 times more likely the principle cause of the trend in SAM than greenhouse gases, although we do not exclude greenhouse gases making a smaller contribution. Monthly and seasonal regressions show a maximum correlation with OMD between December and May (summer and autumn), consistent with previous work on stratospheric change as a cause of change in the troposphere. Copyright (C) 2007 Royal Meteorological Society.</t>
  </si>
  <si>
    <t>British Antarctic Survey, Cambridge CB3 0ET, England; Univ London Imperial Coll Sci Technol &amp; Med, London, England</t>
  </si>
  <si>
    <t>UK Research &amp; Innovation (UKRI); Natural Environment Research Council (NERC); NERC British Antarctic Survey; Imperial College London</t>
  </si>
  <si>
    <t>Roscoe, HK (corresponding author), British Antarctic Survey, High Cross,Madingley Rd, Cambridge CB3 0ET, England.</t>
  </si>
  <si>
    <t>h.roscoe@bas.ac.uk</t>
  </si>
  <si>
    <t>Haigh, Joanna D/F-6847-2014</t>
  </si>
  <si>
    <t>NERC [NE/D002753/1, bas010020] Funding Source: UKRI; Natural Environment Research Council [bas010020, NE/D002753/1] Funding Source: researchfish</t>
  </si>
  <si>
    <t>0035-9009</t>
  </si>
  <si>
    <t>Q J ROY METEOR SOC</t>
  </si>
  <si>
    <t>Q. J. R. Meteorol. Soc.</t>
  </si>
  <si>
    <t>A</t>
  </si>
  <si>
    <t>10.1002/qj.153</t>
  </si>
  <si>
    <t>238EF</t>
  </si>
  <si>
    <t>WOS:000251429400018</t>
  </si>
  <si>
    <t>Van der Putten, N; Verbruggen, C</t>
  </si>
  <si>
    <t>Van der Putten, N.; Verbruggen, C.</t>
  </si>
  <si>
    <t>Glacial geomorphology and chronology of deglaciation, South Georgia, sub-Antarctic</t>
  </si>
  <si>
    <t>OCEAN; RECORD</t>
  </si>
  <si>
    <t>[Van der Putten, N.; Verbruggen, C.] Univ Ghent, Dept Geog, B-9000 Ghent, Belgium; [Van der Putten, N.; Verbruggen, C.] Univ Paul Cezanne, IMEP, UMR CNRS 6116, F-13545 Aix En Provence, France</t>
  </si>
  <si>
    <t>Ghent University; Aix-Marseille Universite</t>
  </si>
  <si>
    <t>Van der Putten, N (corresponding author), Univ Ghent, Dept Geog, Krijgslaan 281 S8-B2, B-9000 Ghent, Belgium.</t>
  </si>
  <si>
    <t>nathalie.vanderputten@ugent.be; cyriel.verbruggen@ugent.be</t>
  </si>
  <si>
    <t>19-21</t>
  </si>
  <si>
    <t>10.1016/j.quascirev.2007.07.004</t>
  </si>
  <si>
    <t>245GB</t>
  </si>
  <si>
    <t>WOS:000251922000026</t>
  </si>
  <si>
    <t>Bentley, MJ; Evans, DJA; Fogwill, CJ; Sugden, DE; Hansom, JD; Kubik, PW</t>
  </si>
  <si>
    <t>Bentley, M. J.; Evans, D. J. A.; Fogwill, C. J.; Sugden, D. E.; Hansom, J. D.; Kubik, P. W.</t>
  </si>
  <si>
    <t>Glacial geomorphology and chronology of deglaciation, South Georgia, sub-Antarctic - Reply</t>
  </si>
  <si>
    <t>RECORD; OCEAN</t>
  </si>
  <si>
    <t>[Bentley, M. J.; Evans, D. J. A.] Univ Durham, Dept Geog, Durham DH1 3LE, England; [Fogwill, C. J.; Sugden, D. E.] Univ Edinburgh, Sch GeoSci, Inst Geog, Edinburgh EH8 9XP, Midlothian, Scotland; [Hansom, J. D.] Univ Glasgow, Dept Geog &amp; Earth Sci, Glasgow G12 8QQ, Lanark, Scotland; [Kubik, P. W.] ETH Honggerberg, Paul Scherrer Inst, C O Inst Particle Phys, CH-8093 Zurich, Switzerland</t>
  </si>
  <si>
    <t>Durham University; University of Edinburgh; University of Glasgow; Swiss Federal Institutes of Technology Domain; ETH Zurich; Paul Scherrer Institute</t>
  </si>
  <si>
    <t>Bentley, MJ (corresponding author), Univ Durham, Dept Geog, South Rd, Durham DH1 3LE, England.</t>
  </si>
  <si>
    <t>m..bentley@durham.ac.uk; d.j.evans@durham.ac.uk; chris.fogwill@ed.ac.uk; david.sugden@ed.ac.uk; jhansom@ges.gla.ac.uk; kubik@phys.ethz.ch</t>
  </si>
  <si>
    <t>Fogwill, Chris/AAW-3502-2021; Fogwill, Christopher/HPF-1150-2023; Bentley, Michael J/F-7386-2011</t>
  </si>
  <si>
    <t>Fogwill, Chris/0000-0002-6471-1106; Bentley, Michael J/0000-0002-2048-0019</t>
  </si>
  <si>
    <t>10.1016/j.quascirev.2007.07.005</t>
  </si>
  <si>
    <t>WOS:000251922000027</t>
  </si>
  <si>
    <t>Kong, P; Fabel, D; Brown, R; Freeman, S</t>
  </si>
  <si>
    <t>Kong Ping; Fabel, D.; Brown, R.; Freeman, S.</t>
  </si>
  <si>
    <t>Cosmic-ray exposure age of Martian meteorite GRV 99027</t>
  </si>
  <si>
    <t>GRV 99027; Martian meteorite; cosmic ray; exposure age; Mars</t>
  </si>
  <si>
    <t>SNC METEORITES; SIDEROPHILE ELEMENTS; EJECTION TIMES; NOBLE-GASES; SHERGOTTITES; LEW88516; ORIGIN; MARS; PETROGRAPHY; CHASSIGNY</t>
  </si>
  <si>
    <t>We have determined the concentrations of Be-10 and Al-26 in GRV 99027 recovered by the 16th Chinese Antarctic expedition team, which are 14.1 +/- 0.6 dpm/kg and 67.5 +/- 3.4 dpm/kg, respectively. From the concentration of Be-10, we calculate a cosmic-ray exposure age of 4.4 +/- 0.6 Ma for GRV 99027. The concentration of Al-26 is too high compared to the Be-10 exposure age, indicating extra production from solar ray. The exposure ages, petrologic and geochemical characteristics of mantle-derived Martian meteorites GRV 99027, LEW 88516, Y-793605, NWA 1950 and ALHA77005 are very similar, suggesting that these meteorites most probably were ejected from Mars in the same impact event.</t>
  </si>
  <si>
    <t>Chinese Acad Sci, Inst Geol &amp; Geophys, State Key Lab Lithospher Evolut, Beijing 100029, Peoples R China; Chinese Acad Sci, Inst Tibetan Plateau Res, Beijing 100085, Peoples R China; Univ Glasgow, Dept Geog &amp; Earth Sci, Glasgow G12 8QQ, Lanark, Scotland; Scottish Univ Environm Res Ctr, E Kilbride G75 0QF, Lanark, Scotland</t>
  </si>
  <si>
    <t>Chinese Academy of Sciences; Institute of Geology &amp; Geophysics, CAS; Chinese Academy of Sciences; Institute of Tibetan Plateau Research, CAS; University of Glasgow; Scottish Universities Research &amp; Reactor Center</t>
  </si>
  <si>
    <t>Kong, P (corresponding author), Chinese Acad Sci, Inst Geol &amp; Geophys, State Key Lab Lithospher Evolut, Beijing 100029, Peoples R China.</t>
  </si>
  <si>
    <t>pingkong@mail.igcas.ac.cn</t>
  </si>
  <si>
    <t>Freeman, Stewart/AAA-6544-2020; Fabel, Derek/A-2999-2010</t>
  </si>
  <si>
    <t>Freeman, Stewart/0000-0001-6148-3171; Fabel, Derek/0000-0003-2859-3293</t>
  </si>
  <si>
    <t>10.1007/s11430-007-0089-6</t>
  </si>
  <si>
    <t>226IP</t>
  </si>
  <si>
    <t>WOS:000250583000010</t>
  </si>
  <si>
    <t>Kuznetsov, SN; Lazutin, LL; Manninen, U; Podorolsky, AN; Ranta, A; Samsonov, SN; Shirochkov, AV; Yushkov, BY</t>
  </si>
  <si>
    <t>Kuznetsov, S. N.; Lazutin, L. L.; Manninen, U.; Podorolsky, A. N.; Ranta, A.; Samsonov, S. N.; Shirochkov, A. V.; Yushkov, B. Yu.</t>
  </si>
  <si>
    <t>Solar protons in the Earth's magnetosphere from riometric and satellite data during magnetic storms in October 2003</t>
  </si>
  <si>
    <t>SOLAR SYSTEM RESEARCH</t>
  </si>
  <si>
    <t>96; 30; C-</t>
  </si>
  <si>
    <t>POLAR-CAP ABSORPTION; MIDDAY RECOVERY; PENETRATION; DYNAMICS; BOUNDARY; EVENT</t>
  </si>
  <si>
    <t>The fluxes and penetration boundaries of solar energetic particles on the CORONAS-F satellite during October 2003 superstorms are compared with the riometric absorption measurements on a worldwide network of riometers. The dynamics of the polar cap boundaries is investigated at various phases of magnetic storms. The dependence of absorption on time of the day and on solar proton spectrum is calculated at various phases of a solar energetic particle event.</t>
  </si>
  <si>
    <t>Moscow MV Lomonosov State Univ, Skobeltsyn Inst Nucl Phys, Moscow 119992, Russia; Geophys Observ, Sodankyla, Finland; Russian Acad Sci, Siberian Branch, Shafer Inst Coamophys Res &amp; Aeron, Yakutsk 677007, Russia; Arctic &amp; Antarctic Res Inst, St Petersburg 199226, Russia</t>
  </si>
  <si>
    <t>Lomonosov Moscow State University; Russian Academy of Sciences; Shafer Institute of Cosmophysical Research &amp; Aeronomy, Siberian Branch of the Russian Academy of Sciences; Arctic &amp; Antarctic Research Institute</t>
  </si>
  <si>
    <t>Kuznetsov, SN (corresponding author), Moscow MV Lomonosov State Univ, Skobeltsyn Inst Nucl Phys, Moscow 119992, Russia.</t>
  </si>
  <si>
    <t>Manninen, Jyrki/I-4004-2019; Belov, Anatoly/L-4097-2019; Yushkov, Boris Y/B-8321-2012; Samsonov, Sergey/E-3461-2014</t>
  </si>
  <si>
    <t>Manninen, Jyrki/0000-0003-2866-4231; Samsonov, Sergey/0000-0002-5897-6730</t>
  </si>
  <si>
    <t>0038-0946</t>
  </si>
  <si>
    <t>SOLAR SYST RES+</t>
  </si>
  <si>
    <t>Solar Syst. Res.</t>
  </si>
  <si>
    <t>10.1134/S0038094607050073</t>
  </si>
  <si>
    <t>221QZ</t>
  </si>
  <si>
    <t>WOS:000250243700007</t>
  </si>
  <si>
    <t>Bonini, M; Corti, G; Del Ventisette, C; Manetti, P; Mulugeta, G; Sokoutis, D</t>
  </si>
  <si>
    <t>Bonini, Marco; Corti, Giacomo; Del Ventisette, Chiara; Manetti, Piero; Mulugeta, Genene; Sokoutis, Dimitrios</t>
  </si>
  <si>
    <t>Modelling the lithospheric rheology control on the Cretaceous rifting in West Antarctica</t>
  </si>
  <si>
    <t>EXTENSIONAL BASIN FORMATION; ROSS SEA; TRANSANTARCTIC MOUNTAINS; VICTORIA-LAND; SYSTEM; DYNAMICS; CONSTRAINTS; EVOLUTION; UPLIFT; FLOW</t>
  </si>
  <si>
    <t>Small-scale analogue models were used to investigate the process of Cretaceous orthogonal extension in the West Antarctic Rift System. The models considered the transition from the East Antarctic Craton to a weaker lithosphere, and the results support previous hypotheses about the strong control exerted by lateral variations in lithospheric structures on the process of extension. Strain was mostly accommodated at the boundary between the two types of lithosphere, with a relative uplift of the cratonic block which remained essentially undeformed. Conversely, the weaker lithosphere showed wide-rifting style geometry, locally associated with core complex-like structures. In agreement with the natural prototype, this tectonic scenario led to a long-lasting extension without continental break-up, and to the absence of relevant surface magmatism.</t>
  </si>
  <si>
    <t>Univ Florence, Inst Geosci &amp; Georisorse, CNR, I-50121 Florence, Italy; Univ Florence, Dipartimento Sci Terra, I-50121 Florence, Italy; Vrije Univ Amsterdam, Fac Earth Life Sci, Netherlands Ctr Integrated Solid Earth Sci, NL-1081 HV Amsterdam, Netherlands</t>
  </si>
  <si>
    <t>University of Florence; Consiglio Nazionale delle Ricerche (CNR); University of Florence; Vrije Universiteit Amsterdam</t>
  </si>
  <si>
    <t>Corti, G (corresponding author), Univ Florence, Inst Geosci &amp; Georisorse, CNR, Via G Pira 4, I-50121 Florence, Italy.</t>
  </si>
  <si>
    <t>giacomo.corti@unifi.it</t>
  </si>
  <si>
    <t>Bonini, Marco/C-9535-2015; Del Ventisette, Chiara/E-8995-2012; Del Ventisette, Chiara/AAV-9059-2020; Del Ventisette, Chiara/IUN-9327-2023; Corti, Giacomo/C-9517-2015</t>
  </si>
  <si>
    <t>Bonini, Marco/0000-0003-4818-8076; Del Ventisette, Chiara/0000-0003-2429-7710; Del Ventisette, Chiara/0000-0003-2429-7710; Corti, Giacomo/0000-0001-7399-4438</t>
  </si>
  <si>
    <t>10.1111/j.1365-3121.2007.00760.x</t>
  </si>
  <si>
    <t>215SA</t>
  </si>
  <si>
    <t>WOS:000249828100009</t>
  </si>
  <si>
    <t>Passos, FD; Meserani, GDC; Gros, O</t>
  </si>
  <si>
    <t>Passos, Flavio Dias; Curi Meserani, Georgeana de Lima; Gros, Olivier</t>
  </si>
  <si>
    <t>Structural and ultrastructural analysis of the gills in the bacterial-bearing species Thyasira falklandica (Bivalvia, Mollusca)</t>
  </si>
  <si>
    <t>ZOOMORPHOLOGY</t>
  </si>
  <si>
    <t>bivalvia; thyasiridae; symbiosis; TEM; SEM</t>
  </si>
  <si>
    <t>CODAKIA-ORBICULARIS BIVALVIA; SULFUR-OXIDIZING BACTERIA; CLAM MAORITHYAS-HADALIS; HYDROTHERMAL VENT; LUCINA-PECTINATA; APOSYMBIOTIC JUVENILES; SYMBIOTIC BACTERIA; DUAL SYMBIOSIS; ENDOSYMBIONTS; HEMOGLOBIN</t>
  </si>
  <si>
    <t>In this study, the cellular organization of the gill that harbors symbiotic bacteria is described in the thyasirid Thyasira falklandica collected from South Shetlands in Antarctic. Sections of the gills revealed that T. falklandica belongs to the gill type 3, as described by Dufour (Biol Bull, 208:200-212, 2005), with an elongated lateral zone along the frontal-abfrontal axis of the gill filaments. The ciliated and intermediary zones looked similar to those described in symbionts-bearing bivalves. The lateral zone is more complex in T. falklandica than in other Thyasiridae already described. Such a zone is composed of four different cell types. Bacteriocytes are abundant in the frontal and abfrontal positions, while the middle part of the lateral zone is occupied mostly by numerous granule cells devoid of bacteria. All along the lateral zone, TEM and SEM observations show some ciliated cells, which are regularly interspersed between bacteriocytes and/or granule cells. Such cells, according to the long double ciliary roots of their cilia, should have a sensory function. Intercalary cells, which have never been observed between bacteriocytes, are restricted to the middle part of the lateral zone where their expansions overlap the adjacent granule cells. Bacterial symbionts occur only extracellularly among long microvilli differentiated by the bacteriocytes. They are abundant, usually spherical in shape (around 0.7 mu m length), and covered by the glycocalix from bacteriocyte microvilli. According to TEM views, the empty vesicles located in the periplasmic space should be sulfur storage, as known for other sulfur-oxidizing symbionts.</t>
  </si>
  <si>
    <t>UFR Sci Exactes &amp; Nat, Biol Marine Lab, UMR 7138, Systemat Adaptat Evolut Equipe Symbiose, F-97159 Pointe A Pitre, Guadeloupe, France; Univ Sao Paulo, Inst Biociencias, Dept Zool, BR-25422970 Sao Paulo, Brazil</t>
  </si>
  <si>
    <t>Sorbonne Universite; Museum National d'Histoire Naturelle (MNHN); Universite de Montpellier; Universidade de Sao Paulo</t>
  </si>
  <si>
    <t>Gros, O (corresponding author), UFR Sci Exactes &amp; Nat, Biol Marine Lab, UMR 7138, Systemat Adaptat Evolut Equipe Symbiose, F-97159 Pointe A Pitre, Guadeloupe, France.</t>
  </si>
  <si>
    <t>olivier.gros@univ-ag.fr</t>
  </si>
  <si>
    <t>Passos, Flávio Dias/D-6679-2012; Passos, Flávio Dias/AAG-5430-2020</t>
  </si>
  <si>
    <t>Passos, Flávio Dias/0000-0002-8193-9874</t>
  </si>
  <si>
    <t>0720-213X</t>
  </si>
  <si>
    <t>1432-234X</t>
  </si>
  <si>
    <t>Zoomorphology</t>
  </si>
  <si>
    <t>10.1007/s00435-007-0034-4</t>
  </si>
  <si>
    <t>Anatomy &amp; Morphology; Zoology</t>
  </si>
  <si>
    <t>215JI</t>
  </si>
  <si>
    <t>WOS:000249804200002</t>
  </si>
  <si>
    <t>Raynaud, D; Lipenkov, V; Lemieux-Dudon, B; Duval, P; Loutre, MF; Lhomme, N</t>
  </si>
  <si>
    <t>Raynaud, Dominique; Lipenkov, Vladimir; Lemieux-Dudon, Benedicte; Duval, Paul; Loutre, Marie-France; Lhomme, Nicolas</t>
  </si>
  <si>
    <t>The local insolation signature of air content in Antarctic ice. A new step toward an absolute dating of ice records</t>
  </si>
  <si>
    <t>ice air content; Antarctic insulation; absolute dating of ice; snow metamorphism; ice porosity at close-off</t>
  </si>
  <si>
    <t>TOTAL GAS CONTENT; POLAR ICE; CLIMATIC PARAMETERS; FIRN DENSIFICATION; EAST ANTARCTICA; GLACIAL CYCLES; CORE; TEMPERATURE; MODEL; SNOW</t>
  </si>
  <si>
    <t>An accurate chronology of ice cores is still needed for interpreting the paleoclimatic record and to understand the relation between insolation and climate. A new domain of research in this area has been stimulated by the work of M. Bender linking the record of N-2/O-2 ratio in the air trapped in the ice with the local insolation. Here we investigate the potential of the air content of polar ice, V as another and complementary ice proxy of local insolation. We propose that the long-term changes in air content recorded in ice from the high Antarctic plateau is dominantly imprinted by the local summer insolation. The V measurements covering the last 440,000 yr and obtained along the EPICA DC (EDC) ice core are presented. 86% of the variance observed in the V record can be explained neither by air pressure nor by temperature changes, and then should reflect properties influencing the porosity at close-off other than temperature. A wavelet analysis indicates a dominant obliquity period (around 41 ka) over the last 440 ka. We propose a mechanism, which can account for the observed anti-correlation between local insolation and V and explain how the local insolation, via the integrated summer insolation, can affect the near-surface snow structure and consequently the porosity at close-off. The V and the integrated summer insolation changes show high coherency over all the record and a variable phase relationship with a maximum phase difference of about 4000 yr around 200 ka ago. The phase difference may reflect the difference between the EDC2 chronology based on an inverse dating method and an accurately dated insolation curve. Our work, by proposing a new and complementary ice proxy for local insolation should eventually contribute to the establishment of an absolute dating of the ice paleo-record. (c) 2007 Elsevier B.V. All rights reserved.</t>
  </si>
  <si>
    <t>UJF, CNRS, Lab Glaciol &amp; Geophys Environm, F-38402 St Martin Dheres, France; Arctic &amp; Antarctic Res Inst, St Petersburg, Russia; Univ Catholique Louvain, B-1348 Louvain, Belgium; Univ British Columbia, Dept Earth &amp; Ocean Sci, Vancouver, BC V6T 1Z4, Canada</t>
  </si>
  <si>
    <t>Communaute Universite Grenoble Alpes; Universite Grenoble Alpes (UGA); Centre National de la Recherche Scientifique (CNRS); Arctic &amp; Antarctic Research Institute; Universite Catholique Louvain; University of British Columbia</t>
  </si>
  <si>
    <t>Raynaud, D (corresponding author), UJF, CNRS, Lab Glaciol &amp; Geophys Environm, BP 96, F-38402 St Martin Dheres, France.</t>
  </si>
  <si>
    <t>raynaud@lgge.obs.ujf-grenoble.fr</t>
  </si>
  <si>
    <t>Raynaud, Dominique/H-9626-2016; raynaud, dominique/ABG-4718-2020; Loutre, Marie-France/L-3594-2018; Lipenkov, Vladimir/Q-8262-2016</t>
  </si>
  <si>
    <t>Loutre, Marie-France/0000-0001-6944-4038; Lipenkov, Vladimir/0000-0003-4221-5440; Lemieux-Dudon, Benedicte/0000-0002-0718-2420</t>
  </si>
  <si>
    <t>SEP 30</t>
  </si>
  <si>
    <t>10.1016/j.epsl.2007.06.025</t>
  </si>
  <si>
    <t>220XA</t>
  </si>
  <si>
    <t>WOS:000250189400001</t>
  </si>
  <si>
    <t>Holbourn, A; Kuhnt, W; Schulz, M; Flores, JA; Andersen, N</t>
  </si>
  <si>
    <t>Holbourn, Ann; Kuhnt, Wolfgang; Schulz, Michael; Flores, Jose-Abel; Andersen, Nils</t>
  </si>
  <si>
    <t>Orbitally-paced climate evolution during the middle Miocene Monterey carbon-isotope excursion</t>
  </si>
  <si>
    <t>middle miocene; Monterey Excursion; stable isotopes; cyclostratigraphy; ODP Site 1146; ODP Site 1237</t>
  </si>
  <si>
    <t>DEEP-OCEAN CIRCULATION; INTEGRATED STRATIGRAPHY; TIME-SCALE; PACIFIC; FLUCTUATIONS; TRANSITION; ATLANTIC; DIOXIDE; RECORDS; OXYGEN</t>
  </si>
  <si>
    <t>One of the most enigmatic features of Cenozoic long-term climate evolution is the long-lasting positive carbon-isotope excursion or Monterey Excursion, which started during a period of global warmth after 16.9 Ma and ended at similar to 13.5 Ma, approximately 400 kyr after major expansion of the Antarctic ice-sheet. We present high-resolution (1-9 kyr) astronomically-tuned climate proxy records in two complete sedimentary successions from the northwestern and southeastern Pacific (ODP Sites 1146 and 1237), which shed new light on the middle Miocene carbon-isotope excursion and associated climatic transition over the interval 17.1-12.7 Ma. We recog,nize three distinct climate phases with different imprints of orbital variations into the climatic signals (1146 and 123 7 delta O-18, delta C-13; 1237 XRT Fe, fraction &gt; 63 pm): (1) climate optimum prior to 14.7 Ma characterized by minimum ice volume and prominent 100 and 400 kyr variability, (2) long-term cooling from 14.7 to 13.9 Ma, principally driven by obliquity and culminating with rapid cryosphere expansion and global cooling at the onset of the last and most pronounced delta C-13 increase, (3) Icehouse mode after 13.9 Ma with distinct 100 kyr variability and improved ventilation of the deep Pacific. The Monterey carbon-isotope excursion (16.9-13.5 Ma) consists overall of nine 400 kyr cycles, which show high coherence with the long eccentricity period. Superposed on these low-frequency oscillations are high-frequency variations (100 kyr), which closely track the amplitude modulation of the short eccentricity period. In contrast to delta C-13, the delta O-18 signal additionally shows significant power in the 41 kyr band, and the 1.2 Myr amplitude modulation of the obliquity cycle is clearly imprinted in the 1146 delta O-18 signal. Our results suggest that eccentricity was a prime pacemaker of middle Miocene climate evolution through the modulation of long-term carbon budgets and that obliquity-paced changes in high-latitude seasonality favored the transition into the Icehouse climate. (c) 2007 Elsevier B.V. All rights reserved.</t>
  </si>
  <si>
    <t>Univ Kiel, Inst Geosci, D-24118 Kiel, Germany; Univ Bremen, Dept Geosci, D-28334 Bremen, Germany; Univ Bremen, DFF Res Ctr Ocean Margins, D-28334 Bremen, Germany; Univ Salamanca, Dept Geol, E-37008 Salamanca, Spain; Univ Kiel, Leibniz Lab Radiomet Dating &amp; Stable Isotope Res, D-24118 Kiel, Germany</t>
  </si>
  <si>
    <t>University of Kiel; University of Bremen; University of Bremen; University of Salamanca; University of Kiel</t>
  </si>
  <si>
    <t>Holbourn, A (corresponding author), Univ Kiel, Inst Geosci, D-24118 Kiel, Germany.</t>
  </si>
  <si>
    <t>ah@gpi.uni-kiel.de</t>
  </si>
  <si>
    <t>Flores, José-Abel/D-4218-2009; Schulz, Michael/P-7276-2016</t>
  </si>
  <si>
    <t>Flores, José-Abel/0000-0003-1909-293X; Schulz, Michael/0000-0001-6500-2697; Holbourn, Ann/0000-0002-3167-0862</t>
  </si>
  <si>
    <t>10.1016/j.epsl.2007.07.026</t>
  </si>
  <si>
    <t>WOS:000250189400016</t>
  </si>
  <si>
    <t>Campbell, HA; Fraser, KPP; Peck, LS; Bishop, CM; Egginton, S</t>
  </si>
  <si>
    <t>Campbell, Hamish A.; Fraser, Keiron P. P.; Peck, Lloyd S.; Bishop, Charles M.; Egginton, Stuart</t>
  </si>
  <si>
    <t>Life in the fast lane: The free-ranging activity, heart rate and metabolism of an Antarctic fish tracked in temperate waters</t>
  </si>
  <si>
    <t>acclimatisation; adaptation; notothemoid; telemetry; temperature</t>
  </si>
  <si>
    <t>NEW-ZEALAND; NOTOTHENIA CORIICEPS; COLD ADAPTATION; ENVIRONMENTS; PLASTICITY; GROWTH; OCEAN</t>
  </si>
  <si>
    <t>The fish species Notothenia angustata inhabits temperate waters (10 degrees C, yet retains physiological traits that show it once existed at sub-zero temperatures. We determined the free-ranging activity, heart rate and metabolism of N. angustata and compared it with Notothenia coriiceps, an ecologically and morphologically congeneric cousin that still inhabits sub-zero waters. Firstly, the association between heart rate (fH) and oxygen consumption MO2) was first determined in the laboratory. The fish were then released into their respective environments and fH recorded by a miniature archival electronic tag, from which the metabolic rate of the free-ranging fish was extrapolated. Free-ranging activity of wild fish was monitored throughout the study using implanted acoustic tags and a static hydrophone array. Results showed that the difference in standard metabolic rate (SMR) between N. angustata and N. coriiceps fitted the Arrhenius model for inter-species thermal sensitivity in fish (Q(10)= 1.76). However, the interspecies disparity in total metabolic rate (TMR) was far greater. This was attributable to N. angustata swimming at higher speeds and covering a 5-fold greater area over 24 It compared with N. coriiceps. As a result, activity (and associated feeding) comprised a far larger portion of TMR in N. angustata (27.9%) than for N. coriiceps (5.7%). We conclude that the increased time spent swimming by N. angustata was presumably to forage for food to acquire sufficient energy to fuel its elevated SMR. This resulted in a much greater inter-species difference in TMR than may be predicted by the disparity in environmental temperature. (C) 2007 Elsevier B.V. All rights reserved.</t>
  </si>
  <si>
    <t>Univ Queensland, Sch Integrat Biol, Brisbane, Qld 4072, Australia; Univ Birmingham, Dept Physiol, Birmingham B15 2TT, W Midlands, England; British Antarctic Survey, NERC, Cambridge CB3 0ET, England; Univ Bangor, Dept Sci Biol, Bangor LL57 2DG, Gwynedd, Wales</t>
  </si>
  <si>
    <t>University of Queensland; University of Birmingham; UK Research &amp; Innovation (UKRI); Natural Environment Research Council (NERC); NERC British Antarctic Survey; Bangor University</t>
  </si>
  <si>
    <t>Campbell, HA (corresponding author), Univ Queensland, Sch Integrat Biol, Brisbane, Qld 4072, Australia.</t>
  </si>
  <si>
    <t>dr.hamish.campbell@gmail.com</t>
  </si>
  <si>
    <t>Fraser, Keiron/0000-0001-5491-8376; Campbell, Hamish/0000-0003-1428-1686</t>
  </si>
  <si>
    <t>SEP 28</t>
  </si>
  <si>
    <t>10.1016/j.jembe.2007.05.009</t>
  </si>
  <si>
    <t>207QA</t>
  </si>
  <si>
    <t>WOS:000249264600013</t>
  </si>
  <si>
    <t>Silvestri, A; Barwick, SW; Beatty, JJ; Besson, DZ; Binns, WR; Caigo, B; Clem, JM; Connolly, A; Cowen, DF; Dowkontt, PF; Du Vernois, MA; Evenson, PA; Goldstein, D; Gorham, PW; Hebert, CL; Israel, MH; Learned, JG; Liewer, KM; Links, JT; Matsuno, S; Miocinovic, P; Nam, J; Naudet, CJ; Nichol, R; Palladino, K; Rosen, M; Saltzberg, D; Seckel, D; Silvestri, A; Stokes, BT; Varner, GS; Wu, F</t>
  </si>
  <si>
    <t>Silvestri, Andrea; Barwick, S. W.; Beatty, J. J.; Besson, D. Z.; Binns, W. R.; Caigo, B.; Clem, J. M.; Connolly, A.; Cowen, D. F.; Dowkontt, P. F.; Du Vernois, M. A.; Evenson, P. A.; Goldstein, D.; Gorham, P. W.; Hebert, C. L.; Israel, M. H.; Learned, J. G.; Liewer, K. M.; Links, J. T.; Matsuno, S.; Miocinovic, P.; Nam, J.; Naudet, C. J.; Nichol, R.; Palladino, K.; Rosen, M.; Saltzberg, D.; Seckel, D.; Silvestri, A.; Stokes, B. T.; Varner, G. S.; Wu, F.</t>
  </si>
  <si>
    <t>Anita Collaboration</t>
  </si>
  <si>
    <t>Results from the ANITA experiment</t>
  </si>
  <si>
    <t>MODERN PHYSICS LETTERS A</t>
  </si>
  <si>
    <t>15th International School of Cosmic Ray Astrophysics Course on Astrophysics</t>
  </si>
  <si>
    <t>JUN 20-27, 2006-2007</t>
  </si>
  <si>
    <t>Ultra-High Energies, Erice, ITALY</t>
  </si>
  <si>
    <t>Ultra-High Energies</t>
  </si>
  <si>
    <t>high energy neutrinos; neutrino astronomy; antarctic ice attenuation; GZK neutrinos; radio detection; ANITA; ARIANNA</t>
  </si>
  <si>
    <t>SHOWERS; CHARGE</t>
  </si>
  <si>
    <t>The ANtarctic Impulse Transient Antenna (ANITA) is the first long-duration balloon experiment designed to search and measure the flux of Greisen-Zapsepin-Kuzmin (GZK) neutrinos. We present new limits on neutrinos fluxes of astronomical origin from data collected with the successful launch of a 2-antenna prototype instrument, called ANITA-lite, that circled the Antarctic continent for 18.4 days in January 2004. We performed a search for Ultra-High-Energy (UHE) neutrinos with energies above 3 x 10(18) eV. No excess events above the background expectation were observed and a neutrino flux following E-2 spectrum for all neutrino flavors, is limited to E-v(-2) F &lt; 1.6 x 10(-6) GeV cm(-2) s(-1) sr(-1) for 10(18.5) eV &lt; E-v &lt; 10(23.5) eV at 90% confidence level. The launch of ANITA is scheduled for December 2006. Looking beyond ANITA, we describe a new idea, called ARIANNA (Antarctic Ross Iceshelf ANtenna Neutrino Array), to increase the sensitivity for GZK neutrinos by one order of magnitude better than ANITA.</t>
  </si>
  <si>
    <t>[Silvestri, Andrea; Anita Collaboration] Univ Calif Irvine, Dept Phys &amp; Astron, Irvine, CA 92697 USA</t>
  </si>
  <si>
    <t>Silvestri, A (corresponding author), Univ Calif Irvine, Dept Phys &amp; Astron, Irvine, CA 92697 USA.</t>
  </si>
  <si>
    <t>silvestr@uci.edu</t>
  </si>
  <si>
    <t>Beatty, James/D-9310-2011; Nichol, Ryan/C-1645-2008</t>
  </si>
  <si>
    <t>Beatty, James/0000-0003-0481-4952; Nichol, Ryan/0000-0003-0557-0443; Goldstein, David/0000-0003-3654-8142; Gorham, Peter/0000-0002-0923-9363</t>
  </si>
  <si>
    <t>0217-7323</t>
  </si>
  <si>
    <t>1793-6632</t>
  </si>
  <si>
    <t>MOD PHYS LETT A</t>
  </si>
  <si>
    <t>Mod. Phys. Lett. A</t>
  </si>
  <si>
    <t>10.1142/S0217732307024279</t>
  </si>
  <si>
    <t>Astronomy &amp; Astrophysics; Physics, Nuclear; Physics, Particles &amp; Fields; Physics, Mathematical</t>
  </si>
  <si>
    <t>243LR</t>
  </si>
  <si>
    <t>WOS:000251798900001</t>
  </si>
  <si>
    <t>Convey, P; Stevens, MI</t>
  </si>
  <si>
    <t>Convey, Peter; Stevens, Mark I.</t>
  </si>
  <si>
    <t>Antarctic biodiversity</t>
  </si>
  <si>
    <t>ICE; DIVERSITY; ECOLOGY; HISTORY</t>
  </si>
  <si>
    <t>British Antarctic Survey, NERC, Cambridge CB3 0ET, England; Massey Univ, Inst Mol Biosci, Allan Wilson Ctr Mol Ecol &amp; Evolut, Palmerston North, New Zealand</t>
  </si>
  <si>
    <t>UK Research &amp; Innovation (UKRI); Natural Environment Research Council (NERC); NERC British Antarctic Survey; Massey University</t>
  </si>
  <si>
    <t>Convey, P (corresponding author), British Antarctic Survey, NERC, High Cross,Madingley Rd, Cambridge CB3 0ET, England.</t>
  </si>
  <si>
    <t>p.convey@bas.ac.uk; m.i.stevens@massey.ac.nz</t>
  </si>
  <si>
    <t>10.1126/science.1147261</t>
  </si>
  <si>
    <t>214US</t>
  </si>
  <si>
    <t>WOS:000249764300027</t>
  </si>
  <si>
    <t>Blazewicz-Paszkowycz, M</t>
  </si>
  <si>
    <t>Blazewicz-Paszkowycz, Magdalena</t>
  </si>
  <si>
    <t>A revision of the family Typhlotanaidae Sieg 1984 (Crustacea: Tanaidacea) with the remarks on the Nototanaidae Sieg, 1976</t>
  </si>
  <si>
    <t>Tanaidacea; Nototanaidae; Typhlotanaidae; ANDEEP; Antarctic; abyssal; Hamatipeda; Larsenotanais; Meromonakantha; Paratyphlotanais; Peraeospinosus; Torquella; Typhlamia; Typhlotanais; Pulcherella</t>
  </si>
  <si>
    <t>NORTHEAST ATLANTIC; PERACARIDA; SEA; MALACOSTRACA</t>
  </si>
  <si>
    <t>Recent tanaidacean material collected from Antarctic waters, primarily during the ANDEEP expeditions of 2002 and 2005, includes a number of new taxa attributable to the families Nototanaidae and Typhlotanaidae sensu Sieg. Analysis of this material has exposed a problem with the recent contention of the two families, and has revealed consistent morphological trends which support the distinction of these two families. In the present paper, examination of both museum specimens and newly-collected material, has allowed a re-analysis based on a series of detailed morphological observations, resulting in a new definition of the families Typhlotanaidae Sieg, 1984 with the establishment of five new genera (Hamatipeda n. gen., Larsenotanais n. gen., Pulcherella n. gen., Torquella n. gen., Typhlamia n. gen.), a the description of thirteen new species, the redescription of fifteen species, and the construction of keys for the determination of typhlotanaid genera and of the species of three newly-erected genera.</t>
  </si>
  <si>
    <t>Univ Lodz, Dept Polar Biol &amp; Oceanbiol, PL-90237 Lodz, Poland</t>
  </si>
  <si>
    <t>Blazewicz-Paszkowycz, M (corresponding author), Univ Lodz, Dept Polar Biol &amp; Oceanbiol, Banacha 12-16, PL-90237 Lodz, Poland.</t>
  </si>
  <si>
    <t>Blazewicz, Magdalena/0000-0002-4753-3424</t>
  </si>
  <si>
    <t>214ZD</t>
  </si>
  <si>
    <t>WOS:000249776000001</t>
  </si>
  <si>
    <t>Partin, JW; Cobb, KM; Adkins, JF; Clark, B; Fernandez, DP</t>
  </si>
  <si>
    <t>Partin, Judson W.; Cobb, Kim M.; Adkins, Jess F.; Clark, Brian; Fernandez, Diego P.</t>
  </si>
  <si>
    <t>Millennial-scale trends in west Pacific warm pool hydrology since the Last Glacial Maximum</t>
  </si>
  <si>
    <t>INTERTROPICAL CONVERGENCE ZONE; SEA-SURFACE TEMPERATURE; ISOTOPIC COMPOSITION; CLIMATE; ATLANTIC; HOLOCENE; DEGLACIATION; CIRCULATION; GREENLAND; CHINA</t>
  </si>
  <si>
    <t>Models and palaeoclimate data suggest that the tropical Pacific climate system plays a key part in the mechanisms underlying orbital-scale and abrupt climate change(1-7). Atmospheric convection over the western tropical Pacific is a major source of heat and moisture to extratropical regions, and may therefore influence the global climate response to a variety of forcing factors. The response of tropical Pacific convection to changes in global climate boundary conditions, abrupt climate changes and radiative forcing remains uncertain, however. Here we present three absolutely dated oxygen isotope records from stalagmites in northern Borneo that reflect changes in west Pacific warm pool hydrology over the past 27,000 years. Our results suggest that convection over the western tropical Pacific weakened 18,000 20,000 years ago, as tropical Pacific(2,5,6,8) and Antarctic(9) temperatures began to rise during the early stages of deglaciation. Convective activity, as inferred from oxygen isotopes, reached a minimum during Heinrich event 1 (ref. 10), when the Atlantic meridional overturning circulation was weak(11), pointing to feed-backs between the strength of the overturning circulation and tropical Pacific hydrology. There is no evidence of the Younger Dryas event(12) in the stalagmite records, however, suggesting that different mechanisms operated during these two abrupt deglacial climate events. During the Holocene epoch, convective activity appears to track changes in spring and autumn insolation, highlighting the sensitivity of tropical Pacific convection to external radiative forcing. Together, these findings demonstrate that the tropical Pacific hydrological cycle is sensitive to high-latitude climate processes in both hemispheres, as well as to external radiative forcing, and that it may have a central role in abrupt climate change events.</t>
  </si>
  <si>
    <t>Georgia Inst Technol, Sch Earth &amp; Atmospher Sci, Atlanta, GA 30332 USA; CALTECH, Div Geol &amp; Planetary Sci, Pasadena, CA 91125 USA; Gunung Mulu Natl Pk, Sarawak, Malaysia</t>
  </si>
  <si>
    <t>University System of Georgia; Georgia Institute of Technology; California Institute of Technology</t>
  </si>
  <si>
    <t>Partin, JW (corresponding author), Georgia Inst Technol, Sch Earth &amp; Atmospher Sci, Atlanta, GA 30332 USA.</t>
  </si>
  <si>
    <t>jpartin@eas.gatech.edu</t>
  </si>
  <si>
    <t>Adkins, Jess/GYI-8778-2022; Partin, Judson W/A-3086-2012; Stuart, Andrew/C-4445-2016</t>
  </si>
  <si>
    <t>Partin, Judson/0000-0003-0315-5545; Cobb, Kim/0000-0002-2125-9164</t>
  </si>
  <si>
    <t>SEP 27</t>
  </si>
  <si>
    <t>U3</t>
  </si>
  <si>
    <t>10.1038/nature06164</t>
  </si>
  <si>
    <t>214GQ</t>
  </si>
  <si>
    <t>WOS:000249724800038</t>
  </si>
  <si>
    <t>Alvarez, A</t>
  </si>
  <si>
    <t>Alvarez, Al</t>
  </si>
  <si>
    <t>NEW YORK REVIEW OF BOOKS</t>
  </si>
  <si>
    <t>NEW YORK REVIEW</t>
  </si>
  <si>
    <t>1755 BROADWAY, 5TH FLOOR, NEW YORK, NY 10019 USA</t>
  </si>
  <si>
    <t>0028-7504</t>
  </si>
  <si>
    <t>1944-7744</t>
  </si>
  <si>
    <t>NEW YORK REV BOOKS</t>
  </si>
  <si>
    <t>N. Y. Rev. Books</t>
  </si>
  <si>
    <t>208NI</t>
  </si>
  <si>
    <t>WOS:000249325700029</t>
  </si>
  <si>
    <t>Clauzet, G; Wainer, I; Lazar, A; Brady, E; Otto-Bliesner, B</t>
  </si>
  <si>
    <t>Clauzet, Gabriel; Wainer, Ilana; Lazar, Alban; Brady, Esther; Otto-Bliesner, Bette</t>
  </si>
  <si>
    <t>A numerical study of the South Atlantic circulation at the Last Glacial Maximum</t>
  </si>
  <si>
    <t>coupled climate model; Last Glacial Maximum; ocean circulation; South Atlantic; paleoceanography; paleoclimatology</t>
  </si>
  <si>
    <t>CLIMATE SYSTEM MODEL; ICE-AGE; AGULHAS CURRENT; TRANSPORT; BRAZIL; VARIABILITY; WATER; TEMPERATURE; SALINITY; VELOCITY</t>
  </si>
  <si>
    <t>In this study, we examine the simulation results from the paleoclimate version of the National Center of Atmospheric Research coupled Climate System Model (CSM 1.4) for the Last Glacial Maximum (LGM) in order to understand changes in the South Atlantic (SA) circulation relative to the Present Day (PD). The LGM simulation is validated with the available proxy data in the region. The results show good agreement, except in the eastern equatorial and eastern SA region, where the model is not able to reproduce the correct cloud cover and the associated air-sea interactions. Ocean transport in the PD simulation is in good agreement with observational estimates. Results show that at subsurface levels there are two distinct patterns: (i) strengthening of the transport for the LGM in the southern SA (35 to 25 degrees S); and (ii) weakening of the mass transport in the northern SA (25 degrees S to the Equator). In intermediate layers, there is an intensification of the subtropical gyre and a northward shift of the South Equatorial Current (SEC) bifurcation for the LGM. This leads to the intensification of the southward transport by the Brazil Current (BC) and the associated BC recirculation cell in the southern basin for the LGM. This shift in the position of the SEC bifurcation leads to a weakening in the northward transport and the western recirculation of the central SEC in the northern basin. This northward shift of the SEC (upper limit of the subtropical gyre) is consistent with the northward shift observed in the subtropical convergence zone and suggests a displacement of the sub-tropical gyre 3 degrees-5 degrees towards the Equator. In deeper layers, a shallower and weaker North Atlantic Deep Water (NADW) circulation in the LGM contributes to the reduction of the southward transport in the northern part of the basin and is associated with a greater northward intrusion of Antarctic Bottom Water. This intrusion plus the increase of the Indian Water inflow is responsible for the northward transport intensification in the southern basin. (c) 2007 Elsevier B.V. All rights reserved.</t>
  </si>
  <si>
    <t>ASA S Amer, BR-05435030 Sao Paulo, Brazil; Univ Sao Paulo, Dept Phys Oceanog, BR-05508 Sao Paulo, Brazil; Univ Paris 06, IPSL, LODYC, Paris, France; Natl Ctr Atmospher Res, Boulder, CO USA</t>
  </si>
  <si>
    <t>Universidade de Sao Paulo; Sorbonne Universite; Universite Paris Cite; National Center Atmospheric Research (NCAR) - USA</t>
  </si>
  <si>
    <t>Clauzet, G (corresponding author), ASA S Amer, Rua Purpurina 155,Cj 96, BR-05435030 Sao Paulo, Brazil.</t>
  </si>
  <si>
    <t>gclauzet@usp.br</t>
  </si>
  <si>
    <t>Otto-Bliesner, Bette/AAY-7691-2020; lazar, alban/B-7290-2013; WAINER, ILANA/B-4540-2011</t>
  </si>
  <si>
    <t>lazar, alban/0000-0002-2079-6400; WAINER, ILANA/0000-0003-3784-623X</t>
  </si>
  <si>
    <t>Fundacao de Amparo a Pesquisa do Estado de Sao Paulo (FAPESP) [01/04920-0, 00/02958-7] Funding Source: FAPESP</t>
  </si>
  <si>
    <t>Fundacao de Amparo a Pesquisa do Estado de Sao Paulo (FAPESP)(Fundacao de Amparo a Pesquisa do Estado de Sao Paulo (FAPESP))</t>
  </si>
  <si>
    <t>1872-616X</t>
  </si>
  <si>
    <t>10.1016/j.palaeo.2007.06.018</t>
  </si>
  <si>
    <t>221VL</t>
  </si>
  <si>
    <t>WOS:000250255400015</t>
  </si>
  <si>
    <t>Yoshikawa, T; Miki, M; Takeda, S; Furuya, K</t>
  </si>
  <si>
    <t>Yoshikawa, Takashi; Miki, Meguru; Takeda, Shigenobu; Furuya, Ken</t>
  </si>
  <si>
    <t>Spatial heterogeneity in photosynthesis-irradiance parameters of phytoplankton across a cyclonic eddy in the Antarctic Divergence zone along 140°E</t>
  </si>
  <si>
    <t>SOUTHERN-OCEAN; PRIMARY PRODUCTIVITY; AUSTRALIAN SECTOR; PACIFIC SECTOR; TEMPERATURE; GROWTH; EDDIES; SEA</t>
  </si>
  <si>
    <t>The latitudinal variation in the photosynthesis-irradiance ( P-E) relationship of phytoplankton was investigated across a cyclonic eddy in the Antarctic Divergence zone along the 140 degrees E longitude. Both the maximum photosynthetic rate ( P*(max)) and maximum light utilization coefficient ( alpha*) were lower at stations within the eddy as compared with those in the continental shelf-slope area and the offshore area. The low-density water mass of the eddy prevented the upward and horizontal supply of macronutrients and micronutrients, which likely resulted in a reduction of P*(max) and alpha*. In contrast, both P*(max) and alpha* were large and variable in the slope area, probably owing to a local stability resulting from the less-saline surface water. The present study indicates the possibility that longitudinal variations in the latitudinal pattern of meanders, eddies, seasonal sea-ice extent, and topographical conditions significantly influence the mesoscale variations in the P-E parameters and primary production in the Southern Ocean.</t>
  </si>
  <si>
    <t>Univ Tokyo, Grad Sch Agr &amp; Life Sci, Bunkyo Ku, Tokyo 1138657, Japan</t>
  </si>
  <si>
    <t>University of Tokyo</t>
  </si>
  <si>
    <t>Yoshikawa, T (corresponding author), Univ Tokyo, Grad Sch Agr &amp; Life Sci, Bunkyo Ku, 1-1-1 Yayoi, Tokyo 1138657, Japan.</t>
  </si>
  <si>
    <t>aquafarm@mail.ecc.u-tokyo.ac.jp</t>
  </si>
  <si>
    <t>SEP 26</t>
  </si>
  <si>
    <t>L18605</t>
  </si>
  <si>
    <t>10.1029/2007GL030736</t>
  </si>
  <si>
    <t>216AT</t>
  </si>
  <si>
    <t>WOS:000249850800003</t>
  </si>
  <si>
    <t>Klemann, V; Ivins, ER; Martinec, Z; Wolf, D</t>
  </si>
  <si>
    <t>Klemann, Volker; Ivins, Erik R.; Martinec, Zdenek; Wolf, Detlef</t>
  </si>
  <si>
    <t>Models of active glacial isostasy roofing warm subduction: Case of the South Patagonian Ice Field</t>
  </si>
  <si>
    <t>HOLOCENE; AMERICA; FLUCTUATIONS; CRUSTAL</t>
  </si>
  <si>
    <t>Modern geodetic techniques such as precise Global Positioning System ( GPS) and high-resolution space gravity mapping ( Gravity Recovery and Climate Experiment, GRACE) make it possible to measure the present-day rate of viscoelastic gravitational Earth response to present and past glacier mass changes. The Andes of Patagonia contain glacial environments of dramatic mass change. These mass load changes occur near a tectonically active boundary between the Antarctic and South American plates. The mechanical strength of the continental side of this boundary is influenced by Neogene ridge subduction and by the subduction of a youthful oceanic slab. A ridge of young volcanos parallels the Pacific coastline. Release of volatiles ( such as water) at depth along this ridge creates a unique rheological environment. To assess the influence of this rheological ridge structure on the observational land uplift rate, we apply a two-dimensional viscoelastic Earth model. A numerical study is presented which examines the sensitivity of the glacial loading-unloading response to the complex structure at depth related to the subducting slab, the viscous wedge between slab and continental lithosphere, and the increase of elastic thickness from oceanic to continental lithosphere. A key feature revealed by our numerical experiments is a continuum flow wherein the slab subdues the material transport toward oceanic mantle and crust. The restricted flow is sensitive to the details of slab mechanical strength and penetration into the upper mantle. The reduced viscosity within the mantle wedge, however, enhances the load-induced material transport everywhere within the asthenosphere.</t>
  </si>
  <si>
    <t>Geoforschungszentrum Potsdam, Geodesy &amp; Remote Sensing, Potsdam, Germany; CALTECH, Jet Prop Lab, Pasadena, CA USA; Charles Univ Prague, Dept Geophys, Prague, Czech Republic; Univ Stuttgart, Geo Inst, Stuttgart, Germany</t>
  </si>
  <si>
    <t>Helmholtz Association; Helmholtz-Center Potsdam GFZ German Research Center for Geosciences; National Aeronautics &amp; Space Administration (NASA); NASA Jet Propulsion Laboratory (JPL); California Institute of Technology; Charles University Prague; University of Stuttgart</t>
  </si>
  <si>
    <t>Klemann, V (corresponding author), Geoforschungszentrum Potsdam, Geodesy &amp; Remote Sensing, Potsdam, Germany.</t>
  </si>
  <si>
    <t>volkerk@gfz-potsdam.de; erik.r.ivins@jpl.nasa.gov; zdenek@gfz-potsdam.de; dasca@gfz-potsdam.de</t>
  </si>
  <si>
    <t>Ivins, Erik R/C-2416-2011; Martinec, Zdenek/AAA-6095-2022; Martinec, Zdenek/M-9860-2017; Klemann, Volker/H-3660-2013</t>
  </si>
  <si>
    <t>Martinec, Zdenek/0000-0002-7036-2571; Klemann, Volker/0000-0002-8342-8947</t>
  </si>
  <si>
    <t>SEP 25</t>
  </si>
  <si>
    <t>B9</t>
  </si>
  <si>
    <t>B09405</t>
  </si>
  <si>
    <t>10.1029/2006JB004818</t>
  </si>
  <si>
    <t>216BY</t>
  </si>
  <si>
    <t>WOS:000249854000001</t>
  </si>
  <si>
    <t>Szopa, S; Hauglustaine, DA; Ciais, P</t>
  </si>
  <si>
    <t>Szopa, S.; Hauglustaine, D. A.; Ciais, P.</t>
  </si>
  <si>
    <t>Relative contributions of biomass burning emissions and atmospheric transport to carbon monoxide interannual variability</t>
  </si>
  <si>
    <t>GROWTH-RATE; MODEL; WILDFIRES; CHEMISTRY; IMPACT; CO</t>
  </si>
  <si>
    <t>[1] Biomass burning is an important source of greenhouse gases and of ozone precursors such as CO. Recent analyses combining the use of satellite data and of ecosystem models showed that wild fire emissions are subject to a large interannual variability. In this study, NOAA/ESRL CO surface measurements are used in conjunction with the results from the LMDz-INCA global chemistry-transport model and analyzed over the 1997-2001 period in order to quantify the relative contributions of biomass burning emissions and of climate to the CO interannual variability ( IAV). Over the considered five year period, the mean CO IAV was found to be about 11% for stations far from regional pollution and 4.5% for Antarctic stations. At both southern and northern high latitude stations, the CO IAV is controlled almost equally by variations in biomass burning emissions and atmospheric meteorology. On the contrary, meteorological variability prevails in the tropics, where it explains 50% to 90% of the CO IAV. Variability in long-range transport and climate is thus the dominant process controlling the CO interannual variability, except during specific episodes, such as the intense fires associated with the 1997-1998 E1 Nino event.</t>
  </si>
  <si>
    <t>CEN Saclay, UVSQ, CNRS,Lab Sci Climat &amp; Environm, CEA,Inst Pierre Simon Laplace, F-91191 Gif Sur Yvette, France; Ecole Polytech, Inst Pierre Simon Laplace, Lab Meteorol Dynam, Palaiseau, France</t>
  </si>
  <si>
    <t>Universite Paris Saclay; Universite Paris Cite; CEA; Centre National de la Recherche Scientifique (CNRS); Universite Paris Cite; Sorbonne Universite; Universite Paris Saclay; Institut Polytechnique de Paris</t>
  </si>
  <si>
    <t>Szopa, S (corresponding author), CEN Saclay, UVSQ, CNRS,Lab Sci Climat &amp; Environm, CEA,Inst Pierre Simon Laplace, F-91191 Gif Sur Yvette, France.</t>
  </si>
  <si>
    <t>Ciais, Philippe/A-6840-2011; SZOPA, Sophie/F-8984-2010; Hauglustaine, Didier/A-4154-2012</t>
  </si>
  <si>
    <t>Ciais, Philippe/0000-0001-8560-4943; SZOPA, Sophie/0000-0002-8641-1737; Hauglustaine, Didier/0000-0002-4826-5118</t>
  </si>
  <si>
    <t>SEP 22</t>
  </si>
  <si>
    <t>L18810</t>
  </si>
  <si>
    <t>10.1029/2007GL030231</t>
  </si>
  <si>
    <t>213RG</t>
  </si>
  <si>
    <t>WOS:000249684200001</t>
  </si>
  <si>
    <t>Clilverd, MA; Seppälä, A; Rodger, CJ; Thomson, NR; Lichtenberger, J; Steinbach, P</t>
  </si>
  <si>
    <t>Clilverd, Mark A.; Seppala, Annika; Rodger, Craig J.; Thomson, Neil R.; Lichtenberger, Janos; Steinbach, Peter</t>
  </si>
  <si>
    <t>Temporal variability of the descent of high-altitude NOX inferred from ionospheric data</t>
  </si>
  <si>
    <t>LOWER ATMOSPHERE; ODD NITROGEN; NITRIC-OXIDE; THERMOSPHERE; ENVISAT; GOMOS</t>
  </si>
  <si>
    <t>In this study we investigate periods of enhanced ionization in the mesosphere during Northern Hemisphere wintertime. Long-lasting ionization enhancements (days) are typically produced by solar proton events or by the descent of thermospheric NOX during periods of sustained downward vertical transport associated with a strong underlying polar vortex. Using a new application of ground-based low-frequency radio wave remote sensing, we study the mesospheric ionization conditions during the Northern Hemisphere winters spanning 2003-2004, 2004-2005, and 2005-2006. The winter 2003-2004 subionospheric radio wave propagation data from a transmitter in Iceland shows signatures of the descent of NOX through 80 km altitude starting on 13 January 2004, during the occurrence of a strong polar vortex, indicating a thermospheric source for the NOX. Similar analysis of radio wave propagation data in the Northern Hemisphere winter of 2004-2005 does not show a NOX descent event passing through the mesosphere, due to a lack of downward vertical transport as a result of a weak underlying polar vortex, despite the occurrence of significant solar proton ionization during January 2005. In 2005-2006 there were no significant ionization events and also no descent of significant amounts of thermospheric NOX, despite a strong polar vortex and strong vertical transport. We model the signature of the descent of NOX seen in the radio wave propagation data using the Sodankyla Ion Chemistry model, confirming that the levels of NOX in the mesosphere are similar to 100 times the usual background levels. The combination of strong NOX sources in the thermosphere and also a strong polar vortex is required for NOX to descend into the stratosphere with significant concentration levels.</t>
  </si>
  <si>
    <t>British Antarctic Survey, Div Phys Sci, Cambridge CB3 0ET, England; Finnish Meteorol Inst, FIN-00101 Helsinki, Finland; Univ Otago, Dept Phys, Dunedin, New Zealand; Eotvos Lorand Univ, Space Res Grp, H-1518 Budapest, Hungary; MTA ELTE Res Grp Geoinformat &amp; Space Sci, H-1117 Budapest, Hungary</t>
  </si>
  <si>
    <t>UK Research &amp; Innovation (UKRI); Natural Environment Research Council (NERC); NERC British Antarctic Survey; Finnish Meteorological Institute; University of Otago; Eotvos Lorand University</t>
  </si>
  <si>
    <t>Clilverd, MA (corresponding author), British Antarctic Survey, Div Phys Sci, High Cross,Madingley Rd, Cambridge CB3 0ET, England.</t>
  </si>
  <si>
    <t>macl@bas.ac.uk; annika.seppala@fmi.fi; crodger@physics.otago.ac.nz; n_thomson@physics.otago.ac.nz; spacerg@sas.elte.hu; spacerg@sas.elte.hu</t>
  </si>
  <si>
    <t>Rodger, Craig/A-1501-2011; Seppälä, Annika/C-8031-2014; Lichtenberger, Janos/K-1034-2018</t>
  </si>
  <si>
    <t>Seppälä, Annika/0000-0002-5028-8220; Lichtenberger, Janos/0000-0001-9175-9255; Steinbach, Peter/0000-0003-2524-8494; Rodger, Craig J./0000-0002-6770-2707</t>
  </si>
  <si>
    <t>A9</t>
  </si>
  <si>
    <t>A09307</t>
  </si>
  <si>
    <t>10.1029/2006JA012085</t>
  </si>
  <si>
    <t>213TP</t>
  </si>
  <si>
    <t>WOS:000249690300001</t>
  </si>
  <si>
    <t>Donaldson, A</t>
  </si>
  <si>
    <t>Donaldson, Andrew</t>
  </si>
  <si>
    <t>Antarctic threatened too</t>
  </si>
  <si>
    <t>10.1016/S0262-4079(07)62393-8</t>
  </si>
  <si>
    <t>214LX</t>
  </si>
  <si>
    <t>WOS:000249740400015</t>
  </si>
  <si>
    <t>Athey-Pollard, N</t>
  </si>
  <si>
    <t>Athey-Pollard, Nina</t>
  </si>
  <si>
    <t>Halogenated hydrocarbon pollutants are redistributed by Antarctic penguins - Polluted penguin poop</t>
  </si>
  <si>
    <t>DALTON TRANSACTIONS</t>
  </si>
  <si>
    <t>1477-9226</t>
  </si>
  <si>
    <t>1477-9234</t>
  </si>
  <si>
    <t>DALTON T</t>
  </si>
  <si>
    <t>Dalton Trans.</t>
  </si>
  <si>
    <t>SEP 21</t>
  </si>
  <si>
    <t>C66</t>
  </si>
  <si>
    <t>Chemistry, Inorganic &amp; Nuclear</t>
  </si>
  <si>
    <t>212IA</t>
  </si>
  <si>
    <t>WOS:000249588300002</t>
  </si>
  <si>
    <t>Maraldi, C; Galton-Fenzi, B; Lyard, F; Testut, L; Coleman, R</t>
  </si>
  <si>
    <t>Maraldi, Claire; Galton-Fenzi, Benjamin; Lyard, Florent; Testut, Laurent; Coleman, Richard</t>
  </si>
  <si>
    <t>Barotropic tides of the Southern Indian Ocean and the Amery Ice Shelf cavity</t>
  </si>
  <si>
    <t>SATELLITE ALTIMETER DATA; EAST ANTARCTICA; GLOBAL OCEAN; ROSS SEA; MODEL; DISSIPATION</t>
  </si>
  <si>
    <t>The 8 main tidal constituents were computed using a finite element, hydrodynamic ocean tide model over the South Indian Ocean region. The discretization of the domain is of the order of 100 km over the deep ocean and a few hundred meters near the coast. Such refinement in the grid resolution enables wave propagation and damping on the continental shelves to be solved correctly. The model used the GEBCO 1-minute global bathymetric grid which was improved with updated topographic data. The model solutions show good agreement with in-situ observations and Topex-Poseidon altimeter measurements and are significantly better than previously published solutions. We obtain a combined standard deviation of 1.4 cm for differences of our new regional model against independent observations compared to about 2.5 cm for the other tide models. The greatest improvements are found around the Kerguelen Islands, around Antarctica and beneath the Amery Ice Shelf and can be explained by the high grid resolution used and the particular attention given to the accuracy of the bathymetry in those regions.</t>
  </si>
  <si>
    <t>LEGOs, F-31400 Toulouse, France; Univ Tasmania, Ctr Marine Sci, Hobart, Tas 7001, Australia; CSIRO Marine &amp; Atmospher Res, Hobart, Tas, Australia; Antarctic Climate &amp; Ecosyst CRC, Hobart, Tas, Australia</t>
  </si>
  <si>
    <t>Universite de Toulouse; Universite Toulouse III - Paul Sabatier; Centre National de la Recherche Scientifique (CNRS); Institut de Recherche pour le Developpement (IRD); Laboratoire d'Etudes en Geophysique et oceanographie spatiales; University of Tasmania; Commonwealth Scientific &amp; Industrial Research Organisation (CSIRO); University of Tasmania</t>
  </si>
  <si>
    <t>Maraldi, C (corresponding author), LEGOs, 14 Ave Edouard Belin, F-31400 Toulouse, France.</t>
  </si>
  <si>
    <t>Lyard, Florent/AAN-4065-2021; Coleman, Richard/H-4425-2012</t>
  </si>
  <si>
    <t>Galton-Fenzi, Benjamin Keith/0000-0003-1404-4103; Coleman, Richard/0000-0002-9731-7498; Testut, Laurent/0000-0002-3969-2919</t>
  </si>
  <si>
    <t>L18602</t>
  </si>
  <si>
    <t>10.1029/2007GL030900</t>
  </si>
  <si>
    <t>213RD</t>
  </si>
  <si>
    <t>WOS:000249683900006</t>
  </si>
  <si>
    <t>Murray, T; Smith, AM; King, MA; Weedon, GP</t>
  </si>
  <si>
    <t>Murray, T.; Smith, A. M.; King, M. A.; Weedon, G. P.</t>
  </si>
  <si>
    <t>Ice flow modulated by tides at up to annual periods at Rutford Ice Stream, West Antarctica</t>
  </si>
  <si>
    <t>RADAR INTERFEROMETRY; CARLSON INLET; GPS DATA; SHELF; BENEATH; SPEED</t>
  </si>
  <si>
    <t>For over 2-years we have collected GPS data similar to 40 km upstream of the grounding line on Rutford Ice Stream, West Antarctica. Here we examine deviations from mean downstream flow. Although the record is incomplete during winter, there is clear modulation of flow at semi-diurnal, diurnal, two-weekly, semi-annual, and annual ocean tidal frequencies. This is the first observation of ice stream flow variations over such a long time-period, and such a wide range of frequencies. The ice stream flows fastest at equinoxes when there are two semi-diurnal tides of equal magnitude, and slowest at solstices when one of the semi-diurnal tides has lower amplitude. The sensitivity of the downstream flow is greatest to the long-period forcing, which suggests that ice stream velocity may be affected by future changes in sea level. If so, this effect would provide a feedback whereby rising sea levels could increase ice stream velocity and hence discharge.</t>
  </si>
  <si>
    <t>Univ Swansea, Sch Environm &amp; Soc, Swansea SA2 8PP, W Glam, Wales; British Antarctic Survey, NERC, Cambridge CB3 0ET, England; Newcastle Univ, Sch Civil Engn &amp; Geosci, Newcastle Upon Tyne NE1 7RU, Tyne &amp; Wear, England</t>
  </si>
  <si>
    <t>Swansea University; UK Research &amp; Innovation (UKRI); Natural Environment Research Council (NERC); NERC British Antarctic Survey; Newcastle University - UK</t>
  </si>
  <si>
    <t>Murray, T (corresponding author), Univ Swansea, Sch Environm &amp; Soc, Singleton Pk, Swansea SA2 8PP, W Glam, Wales.</t>
  </si>
  <si>
    <t>t.murray@swansea.ac.uk</t>
  </si>
  <si>
    <t>Weedon, Graham/JCE-1078-2023; Facility, NERC Geophysical Equipment/G-5260-2010; King, Matt/B-4622-2008; Weedon, Graham P./B-7574-2008</t>
  </si>
  <si>
    <t>King, Matt/0000-0001-5611-9498; Weedon, Graham P./0000-0003-1262-9984; Murray, Tavi/0000-0001-6714-6512</t>
  </si>
  <si>
    <t>NERC [NE/C002121/1, bas010018] Funding Source: UKRI; Natural Environment Research Council [NE/C002121/1, bas010018] Funding Source: researchfish</t>
  </si>
  <si>
    <t>L18503</t>
  </si>
  <si>
    <t>10.1029/2007GL031207</t>
  </si>
  <si>
    <t>WOS:000249683900007</t>
  </si>
  <si>
    <t>De Freitas, AC; Alencar, AS; Coutinho, CR; Paschoa, AS</t>
  </si>
  <si>
    <t>De Freitas, A. C.; Alencar, A. S.; Coutinho, C. R.; Paschoa, A. S.</t>
  </si>
  <si>
    <t>Radiation exposure at sea level measurement between Rio de Janeiro and the Antarctic Peninsula</t>
  </si>
  <si>
    <t>10th International Symposium on Radiation Physics</t>
  </si>
  <si>
    <t>SEP 17-22, 2006</t>
  </si>
  <si>
    <t>Univ Coimbra, Coimbra, PORTUGAL</t>
  </si>
  <si>
    <t>Univ Coimbra</t>
  </si>
  <si>
    <t>cosmic rays; radiation detector; Atlantic Ocean; Antarctica</t>
  </si>
  <si>
    <t>COSMIC-RAYS; PRODUCTION-RATES; ATMOSPHERIC-PRESSURE; COSMOGENIC NUCLIDES; CLIMATE; TEMPERATURE; CLOUDS</t>
  </si>
  <si>
    <t>A sea trip was made aboard the vessel NApOc Ary Rongel of the Brazilian Navy from Rio de Janeiro (Lat. 22 degrees S) to Admiralty Bay (Lat. 62 degrees S) in the King George Island in the Antarctic Peninsula. This trip was part of the Brazilian Antarctic Programme. Radiation measurements were carried out with a proportional counter along the ship round-trip route, which sailed partially under the South Atlantic Anomalv. Only those measurements, which were taken after the vessel was farther than one nautical mile offshore were used. This procedure minimizes radiation contributions from land. External radiation measurements made offshore give an indication of the secondary cosmic ray intensity at sea level. Barometric pressure measurements were registered along the round-trip route as well. Negative correlations between the measured external radiation and the barometric pressure on the vessel were observed in both ways of the round-trip. In latitudes above 42 degrees S, the negative correlation became more prominent. In 1935 the variation of the secondary cosmic radiation with atmospheric pressure was known as the barometric paradox. Recently, an attempt was made to associate long-term variations of the surface pressure with solar activity and galactic cosmic rays. The results are discussed taking into account that as the barometric pressure increases the particle density in the atmosphere also increases. In such case, there are an increasing number of interactions with the particles produced in the hadronic showers, because of decreasing mean free path. Thus, the number of particles reaching a detector at the sea level decreases. (C) 2007 Elsevier B.V. All rights reserved.</t>
  </si>
  <si>
    <t>Univ Estado Rio De Janeiro, Lab Radioecol &amp; Mudancas Globias, BR-20550013 Rio De Janeiro, Brazil</t>
  </si>
  <si>
    <t>Universidade do Estado do Rio de Janeiro</t>
  </si>
  <si>
    <t>De Freitas, AC (corresponding author), Univ Estado Rio De Janeiro, Lab Radioecol &amp; Mudancas Globias, Subsolo Rua Sao Francisco Xavier, BR-20550013 Rio De Janeiro, Brazil.</t>
  </si>
  <si>
    <t>acafuerj@gmail.com</t>
  </si>
  <si>
    <t>1872-9576</t>
  </si>
  <si>
    <t>10.1016/j.nima.2007.05.058</t>
  </si>
  <si>
    <t>214MF</t>
  </si>
  <si>
    <t>WOS:000249741300165</t>
  </si>
  <si>
    <t>Schneider, DP; Noone, DC</t>
  </si>
  <si>
    <t>Schneider, David P.; Noone, David C.</t>
  </si>
  <si>
    <t>Spatial covariance of water isotope records in a global network of ice cores spanning twentieth-century climate change</t>
  </si>
  <si>
    <t>SOUTHERN-HEMISPHERE; STABLE-ISOTOPES; INTERANNUAL VARIABILITY; ANTARCTIC PENINSULA; DELTA-O-18 RECORDS; SAMPLING ERRORS; NORTH PACIFIC; TEMPERATURE; PRECIPITATION; GREENLAND</t>
  </si>
  <si>
    <t>[ 1] Estimating the spatial extent of past climate changes has been an ongoing challenge for paleoclimatology. For such estimates to be made with confidence, it is important to establish an understanding of the spatial coherence of proxy records during an interval of known climate change. We use water stable isotopes from high-resolution ice cores and twentieth-century observations of sea level pressures and sea surface temperatures to assess the covariance among isotopic records and its link to organized patterns of climate variability. Covarying signals in the cores are identified using empirical orthogonal function analysis. Results from regression analysis show that the leading signals are consistent with key climate patterns including the Northern Atlantic Oscillation and Southern Annular Mode and variability in tropical Pacific sea surface temperatures associated with the El Nino-Southern Oscillation. Patterns that have recently been identified in instrumental data, such as positive tropical Pacific SST anomalies associated with the negative phase of the SAM, are evident in the ice cores. These explanations for the variance of stable isotopes are consistent with recent studies using isotope-enabled general circulation models and provide a physical basis for interpreting the observed isotopic signals. While there is also a global change signal that is evident when analyzing the records collectively, there are some limitations in reconstructing global temperatures due to the geographic coverage of the available records and the current lack of modeling studies to explain the observed global-scale changes. Still, water stable isotope ratios preserved in ice cores provide a sufficiently rich sampling of large-scale climate variability that they can be more widely used in physically based paleoclimate reconstructions covering the last millennium and other periods.</t>
  </si>
  <si>
    <t>Univ Colorado, Cooperat Inst Res Environm Sci, Boulder, CO 80309 USA; Natl Ctr Atmospher Res, Boulder, CO USA; Univ Colorado, Dept Atmospher &amp; Ocean Sci, Boulder, CO 80309 USA</t>
  </si>
  <si>
    <t>University of Colorado System; University of Colorado Boulder; National Center Atmospheric Research (NCAR) - USA; University of Colorado System; University of Colorado Boulder</t>
  </si>
  <si>
    <t>Schneider, DP (corresponding author), Univ Colorado, Cooperat Inst Res Environm Sci, Boulder, CO 80309 USA.</t>
  </si>
  <si>
    <t>; Schneider, David/E-2726-2010</t>
  </si>
  <si>
    <t>NOONE, DAVID/0000-0002-8642-7843; Schneider, David/0000-0001-5308-1834</t>
  </si>
  <si>
    <t>SEP 20</t>
  </si>
  <si>
    <t>D18</t>
  </si>
  <si>
    <t>D18105</t>
  </si>
  <si>
    <t>10.1029/2007JD008652</t>
  </si>
  <si>
    <t>213RQ</t>
  </si>
  <si>
    <t>WOS:000249685200004</t>
  </si>
  <si>
    <t>Curtosi, A; Pelletier, E; Vodopivez, CL; Mac Cormack, WP</t>
  </si>
  <si>
    <t>Curtosi, Antonio; Pelletier, Emilien; Vodopivez, Cristian L.; Mac Cormack, Walter P.</t>
  </si>
  <si>
    <t>Polycyclic aromatic hydrocarbons in soil and surface marine sediment near Jubany Station (Antarctica). Role of permafrost as a low-permeability barrier</t>
  </si>
  <si>
    <t>PAH distribution; Antarctic soils; marine sediments; hydrocarbon contamination; permafrost</t>
  </si>
  <si>
    <t>ARTHUR HARBOR; PETROLEUM-HYDROCARBONS; CONTAMINATED SOIL; BIODEGRADATION; PAH; DEGRADATION; TEMPERATURE; ENVIRONMENT; SUBSURFACE; PENINSULA</t>
  </si>
  <si>
    <t>Although Antarctica is still considered as one of the most pristine areas of the world, the growing tourist and fisheries activities as well as scientific operations and their related logistic support are responsible for an increasing level of pollutants in this fragile environment. Soils and coastal sediments are significantly affected near scientific stations particularly by polycyclic aromatic hydrocarbons (PAHs). In this work sediment and soil were sampled in two consecutive summer Antarctic expeditions at Potter Cove and peninsula, in the vicinity of Jubany Station (South Shetland Islands). Two- and 3-ring PAHs (methylnaphthalene, fluorene, phenanthrene and anthracene) were the main compounds found in most sites, although total PAH concentrations showed relatively low levels compared with other human-impacted areas in Antarctica. Pattern distribution of PAHs observed in samples suggested that low-temperature combustion processes such as diesel motor combustion and open-field garbage burning are the main sources of these compounds. An increase in PAH concentrations was observed from surface to depth into the active soil layer except for a unique sampling site where a fuel spill had been recently reported and where an inverted PAH concentration gradient was observed. The highest level was detected in the upper layer of permafrost followed by a sharp decrease in depth, showing this layer is acting as a barrier for downward PAH migration. When PAH levels in soil from both sampling programs were compared a significant decrease (p &lt; 0.01) was observed in summer 2005 (range at 75-cm depth: 12 +/- 1-153 +/- 22 ng/g) compared to summer 2004 (range at 75-cm depth: 162 +/- 15-1182 +/- 113 ng/g) whereas concentrations in surface sediment collected nearby the station PAHs increased drastically in 2005 (range: 36 +/- 3-1908 +/- 114 ng/g) compared to 2004 (range: 28 +/- 3-312 +/- 24 ng/g). Precipitation regime and water run off suggest that an important wash out of soil-PAHs occurred during the interval time between samplings. Results showed that the present PAH contamination level of Jubany Station is relatively low compared to other reported cases in Antarctica but also suggests that an increase in rain and in thawing processes caused by the global warming could result in an important soil-associated PAH mobilization with unpredictable consequences for the biota of Potter Cove. (c) 2007 Elsevier B.V. All rights reserved.</t>
  </si>
  <si>
    <t>Inst Anatart Argentino, Buenos Aires, DF, Argentina; Univ Quebec, ISMER, Rimouski, PQ G5L 3A1, Canada; Univ Buenos Aires, Fac Farm &amp; Bioquim, Ctr Biotechnol, RA-1113 Buenos Aires, DF, Argentina</t>
  </si>
  <si>
    <t>University of Quebec; University of Buenos Aires</t>
  </si>
  <si>
    <t>Mac Cormack, WP (corresponding author), Inst Anatart Argentino, Cerriot 1248, Buenos Aires, DF, Argentina.</t>
  </si>
  <si>
    <t>wmac@ffyb.uba.ar</t>
  </si>
  <si>
    <t>Mac Cormack, Walter/0000-0002-5280-5463</t>
  </si>
  <si>
    <t>10.1016/j.scitotenv.2007.04.025</t>
  </si>
  <si>
    <t>202DB</t>
  </si>
  <si>
    <t>WOS:000248881100017</t>
  </si>
  <si>
    <t>Vaughan, DG; Rivera, A; Woodward, J; Corr, HFJ; Wendt, J; Zamora, R</t>
  </si>
  <si>
    <t>Vaughan, David G.; Rivera, Andres; Woodward, John; Corr, Hugh F. J.; Wendt, Jens; Zamora, Rodrigo</t>
  </si>
  <si>
    <t>Topographic and hydrological controls on subglacial Lake Ellsworth, west Antarctica</t>
  </si>
  <si>
    <t>ICE-SHEET; VOSTOK; SYSTEM</t>
  </si>
  <si>
    <t>Subglacial Lake Ellsworth (SLE) was identified using reconnaissance data collected in the 1970s, here we present more detailed surveys. SLE lies beneath 3.2 km of ice in a subglacial valley in West Antarctica. It has an area of only similar to 18 km(2), is dissimilar to the large tectonically-controlled lakes beneath East Antarctica and is a strong candidate for in situ exploration. Our analysis indicates that the ice above SLE is floating on a fluid whose density is 950-1013 kg m(-3). This could indicate freshwater, but certainly precludes seawater, or high salt, acid, or clathrate content. The water in the lake is unlikely to be produced solely by local melt; it is more likely delivered via subglacial drainage. Our surveys show no identifiable hydrological barrier to outflow, meaning SLE is effectively full; new water entering the lake is likely balanced by outflow, which would drain into another lake that we have also identified.</t>
  </si>
  <si>
    <t>British Antarctic Survey, Natl Environm Res Council, Cambridge, England; Ctr Study Cientif, Valdivia, Chile; Univ Chile, Dept Geog, Santiago, Chile; Northumbria Univ, Sch App Sci, Newcastle Upon Tyne NE1 8ST, Tyne &amp; Wear, England</t>
  </si>
  <si>
    <t>UK Research &amp; Innovation (UKRI); Natural Environment Research Council (NERC); NERC British Antarctic Survey; Universidad de Chile; Northumbria University</t>
  </si>
  <si>
    <t>Vaughan, DG (corresponding author), British Antarctic Survey, Natl Environm Res Council, Cambridge, England.</t>
  </si>
  <si>
    <t>Woodward, John/I-1046-2013; Vaughan, David/C-8348-2011; Corr, Hugh/C-5398-2011</t>
  </si>
  <si>
    <t>Rivera, Andres/0000-0002-2779-4192; Vaughan, David/0000-0002-9065-0570; Woodward, John/0000-0002-4980-4080</t>
  </si>
  <si>
    <t>SEP 19</t>
  </si>
  <si>
    <t>L18501</t>
  </si>
  <si>
    <t>10.1029/2007GL030769</t>
  </si>
  <si>
    <t>213QZ</t>
  </si>
  <si>
    <t>WOS:000249683500003</t>
  </si>
  <si>
    <t>Rusov, VD; Pavlovich, VN; Vaschenko, VN; Tarasov, VA; Zelentsova, TN; Bolshakov, VN; Litvinov, DA; Kosenko, SI; Byegunova, OA</t>
  </si>
  <si>
    <t>Rusov, V. D.; Pavlovich, V. N.; Vaschenko, V. N.; Tarasov, V. A.; Zelentsova, T. N.; Bolshakov, V. N.; Litvinov, D. A.; Kosenko, S. I.; Byegunova, O. A.</t>
  </si>
  <si>
    <t>Geoantineutrino spectrum and slow nuclear burning on the boundary of the liquid and solid phases of the Earth's core</t>
  </si>
  <si>
    <t>VARIABLE THERMAL-CONDUCTIVITY; FISSION-PRODUCTS; MANTLE; HELIUM; REACTOR; ANTINEUTRINOS; ANISOTROPY; HE-3/HE-4; PLUMES</t>
  </si>
  <si>
    <t>We give an alternative description of the data produced in the KamLAND experiment. Assuming the existence of a natural nuclear reactor on the boundary of the liquid and solid phases of the Earth's core, a geoantineutrino spectrum is obtained. This assumption is based on the experimental results of V. Anisichkin and his collaborators on the interaction of uranium dioxide and uranium carbide with iron-nickel and silica-alumina melts at high pressure (5-10 GPa) and temperature (1600-2200 degrees C), which led to the proposal of the existence of an actinide shell in the Earth's core. We describe the operating mechanism of this reactor as solitary waves of nuclear burning in U-238 and/or Th-232 medium, in particular, as neutron fission progressive waves of Feoktistov and/or Teller et al. type. Next, we propose a simplified model for the accumulation and burn-up kinetics in Feoktistov's U-Pu fuel cycle. We also apply this model for numerical simulations of neutron fission wave in a two-phase UO2/Fe medium on the surface of the Earth's solid core. The proposed georeactor model offers a mechanism for the generation of He-3. The He-3/He-4 distribution in the Earth's interior is calculated, which in turn can be used as a natural quantitative criterion of the georeactor thermal power. Finally, we give a tentative estimation of the geoantineutrino intensity and spectrum on the Earth's surface. For this purpose we use the O'Nions et al. geochemical model of mantle differentiation and crust growth complemented by a nuclear energy source (georeactor with power of 30 TW).</t>
  </si>
  <si>
    <t>Odessa Natl Polytech Univ, Dept Theoret &amp; Expt Nucl PHys, UA-654044 Kiev, Ukraine; Univ Bielefeld, Fac Math, D-33501 Bielefeld, Germany; Natl Acad Sci, Inst Nucl Res, UA-03028 Kiev, Ukraine; Ukrainian Natl Antarctic Ctr, UA-01601 Kiev, Ukraine; Natl Taras Shevchenko Univ, Kiev, Ukraine</t>
  </si>
  <si>
    <t>Ministry of Education &amp; Science of Ukraine; Odessa National Polytechnic University; University of Bielefeld; National Academy of Sciences Ukraine; Institute for Nuclear Research of NASU; V. M. Glushkov Institute of Cybernetics, National Academy of Sciences of Ukraine; Ministry of Education &amp; Science of Ukraine; State Institution National Antarctic Scientific Center; Ministry of Education &amp; Science of Ukraine; Taras Shevchenko National University of Kyiv</t>
  </si>
  <si>
    <t>Rusov, VD (corresponding author), Odessa Natl Polytech Univ, Dept Theoret &amp; Expt Nucl PHys, 1 Shevchenko Av, UA-654044 Kiev, Ukraine.</t>
  </si>
  <si>
    <t>siiis@te.net.ua</t>
  </si>
  <si>
    <t>Tarasov, Victor A/Q-8626-2016; Rusov, Vitaliy D./I-1932-2015; Sharph, Igor/JOK-8452-2023; Kosenko, Sergei/Q-8650-2016; Zelentsova, Tatiana/C-3784-2016</t>
  </si>
  <si>
    <t>Tarasov, Victor A/0000-0002-1497-0214; Rusov, Vitaliy D./0000-0003-1091-1396; Kosenko, Sergei/0000-0002-7082-5644; Zelentsova, Tatiana/0000-0002-2884-0090</t>
  </si>
  <si>
    <t>B09203</t>
  </si>
  <si>
    <t>10.1029/2005JB004212</t>
  </si>
  <si>
    <t>213TG</t>
  </si>
  <si>
    <t>WOS:000249689400001</t>
  </si>
  <si>
    <t>Hwang, JA; Lee, DY; Lyons, LR; Smith, AJ; Zou, S; Min, KW; Kim, KH; Moon, YJ; Park, YD</t>
  </si>
  <si>
    <t>Hwang, J. A.; Lee, D.-Y.; Lyons, L. R.; Smith, A. J.; Zou, S.; Min, K. W.; Kim, K.-H.; Moon, Y.-J.; Park, Y. D.</t>
  </si>
  <si>
    <t>Statistical significance of association between whistler-mode chorus enhancements and enhanced convection periods during high-speed streams</t>
  </si>
  <si>
    <t>OUTER RADIATION BELT; RELATIVISTIC ELECTRON FLUX; ULF WAVE POWER; SOLAR-WIND; RESONANT DIFFUSION; OCTOBER 9; ACCELERATION; STORM; MAGNETOSPHERE; ENERGIZATION</t>
  </si>
  <si>
    <t>During high-speed solar wind streams, substorms occur repetitively and relativistic electron fluxes enhance significantly. It has recently been proposed that enhanced dawnside chorus waves lead to the energization of the relativistic electrons and that they are associated with the periods of enhanced convection that precede substorm expansions, rather than with the expansions themselves. In this paper, we have evaluated the statistical significance of this association using a total of 657 substorms during high-speed solar wind streams observed by the ACE spacecraft and whistler-mode chorus waves observed from the VLF/ELF Logger Experiment (VELOX) at Halley station, Antarctica. We find that similar to 66% of the substorm events identified at 0400-1400 MLT show the association with the chorus enhancement that starts to increase similar to 35 min, on average, prior to substorm onsets and remains elevated until declining back to near the preenhancement level in similar to 16 min, on average, after substorm onsets. Our statistical results suggest that a large number of the chorus wave enhancements at dawn to postnoon local times occur during the enhanced convection period of the substorm growth phase. This is distinguished from the chorus wave enhancement near midnight that is caused by substorm-injected electrons after onsets. We find that similar to 59% of the events identified at 2200-0200 MLT show chorus enhancements that start on average similar to 6 min after substorm onsets and remain elevated for similar to 32 min on average.</t>
  </si>
  <si>
    <t>Korea Astron &amp; Space Sci Inst, Taejon 305348, South Korea; Chungbuk Natl Univ, Dept Astron &amp; Space Sci, Cheongju 361736, Chungbuk, South Korea; Univ Calif Los Angeles, Dept Atmospher &amp; Ocean Sci, Los Angeles, CA 90095 USA; Korea Adv Inst Sci &amp; Technol, Dept Phys, Taejon 305701, South Korea; British Antarctic Survey, Cambridge CB3 0ET, England</t>
  </si>
  <si>
    <t>Korea Astronomy &amp; Space Science Institute (KASI); Chungbuk National University; University of California System; University of California Los Angeles; Korea Advanced Institute of Science &amp; Technology (KAIST); UK Research &amp; Innovation (UKRI); Natural Environment Research Council (NERC); NERC British Antarctic Survey</t>
  </si>
  <si>
    <t>Hwang, JA (corresponding author), Korea Astron &amp; Space Sci Inst, 61-1 Hwaam Dong, Taejon 305348, South Korea.</t>
  </si>
  <si>
    <t>jahwang@kasi.re.kr</t>
  </si>
  <si>
    <t>Kim, Khan-Hyuk/E-2361-2013; Min, Kyoung Wook/C-1948-2011; Hwang, Junga/R-8719-2019; Moon, Yong-Jae/AAK-8078-2020; Moon, Yong-Jae/E-1711-2013; Zou, Shasha/G-2205-2011</t>
  </si>
  <si>
    <t>Hwang, Junga/0000-0002-6862-5854; Moon, Yong-Jae/0000-0001-6216-6944; Zou, Shasha/0000-0001-7726-2349</t>
  </si>
  <si>
    <t>SEP 18</t>
  </si>
  <si>
    <t>A09213</t>
  </si>
  <si>
    <t>10.1029/2007JA012388</t>
  </si>
  <si>
    <t>213TL</t>
  </si>
  <si>
    <t>WOS:000249689900004</t>
  </si>
  <si>
    <t>Sandiford, M</t>
  </si>
  <si>
    <t>Sandiford, Mike</t>
  </si>
  <si>
    <t>The tilting continent: A new constraint on the dynamic topographic field from Australia</t>
  </si>
  <si>
    <t>dynamic topography; geoid; intraplate tectonics; Australia; epeirogeny</t>
  </si>
  <si>
    <t>EUCLA BASIN; SEA-LEVEL; EVOLUTION; MANTLE; UPLIFT</t>
  </si>
  <si>
    <t>A pronounced latitudinal asymmetry in the present-day morphology of the Australian continental shelf is reflected in Neogene stratigraphic relationships. The northern Australian margin has a broad shelf, typically 200-500 km wide and a Neogene record of stratal onlap. Relative to the continent, sea levels are currently as high as at any stage during the Neogene. In contrast, the southern shelf is typically less than 100 km wide and shows a record of progressive offlap with Neogene palaeo-shorelines commonly many hundreds of kilometres inland, at elevations up to similar to 250 in above present-day sea level. This continental-scale 'reciprocal' stratigraphy implies 250-300 m N-down, SSW-up apparent vertical motion with respect to sea level since the mid-Miocene. The apparent vertical motion can be attributed to variations in dynamic topography and the geoid along Australia's NNE plate circuit; specifically, the movement of the southern margin off the dynamic topography low, geoid low presently centred on the Australian-Antarctic discordance, and the northern margin towards a dynamic topography low, geoid high associated with the subduction realm to the north. Variations in the geoid appear to account for about 10% of the total apparent motion, depending on assumptions about how the geoid field has evolved during Australia's northward motion. This inferred Neogene, continental-scale dynamic N-S tilting rate of similar to 15-20 m/myr provides a compelling new constraint on the nature of the Earth's dynamic topographic field. (C) 2007 Elsevier B.V. All rights reserved.</t>
  </si>
  <si>
    <t>Univ Melbourne, Sch Earth Sci, Melbourne, Vic 3010, Australia</t>
  </si>
  <si>
    <t>Sandiford, M (corresponding author), Univ Melbourne, Sch Earth Sci, Melbourne, Vic 3010, Australia.</t>
  </si>
  <si>
    <t>mikes@unimelb.edu.au</t>
  </si>
  <si>
    <t>Sandiford, Mike/N-4453-2019</t>
  </si>
  <si>
    <t>Sandiford, Mike/0000-0002-9757-745X</t>
  </si>
  <si>
    <t>SEP 15</t>
  </si>
  <si>
    <t>10.1016/j.epsl.2007.06.023</t>
  </si>
  <si>
    <t>218VE</t>
  </si>
  <si>
    <t>WOS:000250042500013</t>
  </si>
  <si>
    <t>Horne, RB; Thorne, RM; Glauert, SA; Meredith, NP; Pokhotelov, D; Santolík, O</t>
  </si>
  <si>
    <t>Horne, Richard B.; Thorne, Richard M.; Glauert, Sarah A.; Meredith, Nigel P.; Pokhotelov, Dimitry; Santolik, Ondrej</t>
  </si>
  <si>
    <t>Electron acceleration in the Van Allen radiation belts by fast magnetosonic waves</t>
  </si>
  <si>
    <t>WHISTLER-MODE CHORUS; RELATIVISTIC ELECTRONS; EQUATORIAL NOISE; RESONANT INTERACTION; MAGNETIC STORMS; DIFFUSION; CLUSTER; PROPAGATION; SPACECRAFT; FREQUENCY</t>
  </si>
  <si>
    <t>Local acceleration is required to explain electron flux increases in the outer Van Allen radiation belt during magnetic storms. Here we show that fast magnetosonic waves, detected by Cluster 3, can accelerate electrons between similar to 10 keV and a few MeV inside the outer radiation belt. Acceleration occurs via electron Landau resonance, and not Doppler shifted cyclotron resonance, due to wave propagation almost perpendicular to the ambient magnetic field. Using quasi-linear theory, pitch angle and energy diffusion rates are comparable to those for whistler mode chorus, suggesting that these waves are very important for local electron acceleration. Since pitch angle diffusion does not extend into the loss cone, these waves, on their own, are not important for loss to the atmosphere. We suggest that magnetosonic waves, which are generated by unstable proton ring distributions, are an important energy transfer process from the ring current to the Van Allen radiation belts.</t>
  </si>
  <si>
    <t>British Antarctic Survey, Cambridge CB3 0ET, England; Univ Bath, Dept Elect &amp; Elect Engn, Bath BA2 7AY, Avon, England; Charles Univ Prague, Dept Math &amp; Phys, CZ-18000 Prague, Czech Republic; Univ Calif Los Angeles, Dept Atmospher &amp; Ocean Sci, Los Angeles, CA 90095 USA; Acad Sci Czech Republic, Inst Atmospher Phys, Prague, Czech Republic</t>
  </si>
  <si>
    <t>UK Research &amp; Innovation (UKRI); Natural Environment Research Council (NERC); NERC British Antarctic Survey; University of Bath; Charles University Prague; University of California System; University of California Los Angeles; Czech Academy of Sciences; Institute of Atmospheric Physics of the Czech Academy of Sciences</t>
  </si>
  <si>
    <t>Horne, RB (corresponding author), British Antarctic Survey, Madingley Rd, Cambridge CB3 0ET, England.</t>
  </si>
  <si>
    <t>r.horne@bas.ac.uk; rmt@atmos.ucla.edu; sagl@bas.ac.uk; nmer@bas.ac.uk; d.pokhotelov@bath.ac.uk; ondrej.santolik@mff.cuni.cz</t>
  </si>
  <si>
    <t>Meredith, Nigel P/C-5806-2018; Pokhotelov, Dimitry/AAG-5627-2020; Horne, Richard B/U-3764-2019; Pokhotelov, Dimitry/H-6969-2014; Santolik, Ondrej/F-7766-2014</t>
  </si>
  <si>
    <t>Pokhotelov, Dimitry/0000-0002-3712-0597; Horne, Richard B/0000-0002-0412-6407; Pokhotelov, Dimitry/0000-0002-3712-0597; Meredith, Nigel/0000-0001-5032-3463; Santolik, Ondrej/0000-0002-4891-9273</t>
  </si>
  <si>
    <t>L17107</t>
  </si>
  <si>
    <t>10.1029/2007GL030267</t>
  </si>
  <si>
    <t>211IU</t>
  </si>
  <si>
    <t>WOS:000249518300001</t>
  </si>
  <si>
    <t>Delaney-Lehman, MJ</t>
  </si>
  <si>
    <t>Delaney-Lehman, Maureen J.</t>
  </si>
  <si>
    <t>The ends of the earth: An anthology of the finest writing on the arctic and the antarctic</t>
  </si>
  <si>
    <t>LIBRARY JOURNAL</t>
  </si>
  <si>
    <t>Lake Super State Univ Lib, Sault Ste Marie, ON, Canada</t>
  </si>
  <si>
    <t>Delaney-Lehman, MJ (corresponding author), Lake Super State Univ Lib, Sault Ste Marie, ON, Canada.</t>
  </si>
  <si>
    <t>REED BUSINESS INFORMATION</t>
  </si>
  <si>
    <t>360 PARK AVENUE SOUTH, NEW YORK, NY 10010 USA</t>
  </si>
  <si>
    <t>0363-0277</t>
  </si>
  <si>
    <t>LIBR J</t>
  </si>
  <si>
    <t>Libr. J.</t>
  </si>
  <si>
    <t>Information Science &amp; Library Science</t>
  </si>
  <si>
    <t>214EA</t>
  </si>
  <si>
    <t>WOS:000249717600220</t>
  </si>
  <si>
    <t>Irvin, SJ; Williams, KC</t>
  </si>
  <si>
    <t>Irvin, Simon J.; Williams, Kevin C.</t>
  </si>
  <si>
    <t>Apparent digestibility of selected marine and terrestrial feed ingredients for tropical spiny lobster Panulirus ornatus</t>
  </si>
  <si>
    <t>AQUACULTURE</t>
  </si>
  <si>
    <t>spiny lobster; ytterbium; digestibility; diet; nutrition</t>
  </si>
  <si>
    <t>AUSTRALIAN SILVER PERCH; SALMON SALMO-SALAR; RAINBOW-TROUT; FISH-MEAL; ONCORHYNCHUS-MYKISS; BIDYANUS-BIDYANUS; KERNEL MEALS; PROTEIN; DIETS; REPLACEMENT</t>
  </si>
  <si>
    <t>This study reports the dry matter (DM), organic matter (OM), crude protein (CP), total lipid (TL) and gross energy (GE) apparent digestibilities of five marine animal and three terrestrial plant feed ingredients using sub-adult tropical spiny lobster (Panulirus ornatus) of 600-800 g. Apparent digestibility was determined using standard substitution procedures and employing ytterbium as the digestibility marker. Test ingredients were used at a substitution rate of 500 g kg(-1) or 300 g kg(-1) for animal or plant ingredients, respectively. In each of the two digestibility experiments (n = 5, the reference and four substituted diets were fed to lobsters fitted with a balloon fecal collection device. This enabled the collection of voided feces without contact with seawater and subsequent leaching losses. The derived DM, OM, CP, TL and E apparent digestibilities respectively were: 76, 81, 89, 64 and 83% for New Zealand mussel meal; 67, 79, 84, 77 and 81% for Peruvian fish meal; 69, 77, 89, 66 and 78% for spray-dried Antarctic krill meal; 53, 65, 85, 53 and 72% for Chilean langoustine meal; 47, 48, 59 41 and 58% for Japanese squid meal; 71, 66, 81, 41 and 72% for Australian solvent-extracted soybean meal; and 51, 57, 86, 33 and 63% for Australian dehulled lapin kernel meal (cv Wonga). The DM, OM, CP and E apparent digestibility of wheat flour were 82, 69, 74 and 72% respectively. (C) 2007 Published by Elsevier B.V.</t>
  </si>
  <si>
    <t>CSIRO, Cleveland, Qld 4163, Australia</t>
  </si>
  <si>
    <t>Irvin, SJ (corresponding author), CSIRO, PO Box 120, Cleveland, Qld 4163, Australia.</t>
  </si>
  <si>
    <t>simon.irvin@csiro.au</t>
  </si>
  <si>
    <t>Irvin, Simon J/F-4050-2012</t>
  </si>
  <si>
    <t>0044-8486</t>
  </si>
  <si>
    <t>1873-5622</t>
  </si>
  <si>
    <t>Aquaculture</t>
  </si>
  <si>
    <t>SEP 14</t>
  </si>
  <si>
    <t>10.1016/j.aquaculture.2007.05.013</t>
  </si>
  <si>
    <t>205VV</t>
  </si>
  <si>
    <t>WOS:000249143600045</t>
  </si>
  <si>
    <t>Moren, M; Malde, MK; Olsen, RE; Hemre, GI; Dahl, L; Karlsen, O; Julshamn, K</t>
  </si>
  <si>
    <t>Moren, M.; Malde, M. K.; Olsen, R. E.; Hemre, G. I.; Dahl, L.; Karlsen, O.; Julshamn, K.</t>
  </si>
  <si>
    <t>Fluorine accumulation in Atlantic salmon (Salmo salar), Atlantic cod (Gadus morhua), rainbow trout (Onchorhyncus mykiss) and Atlantic halibut (Hippoglossus hippoglossus) fed diets with krill or amphipod meals and fish meal based diets with sodium fluoride (NaF) inclusion</t>
  </si>
  <si>
    <t>fluorine; alternative protein sources; krill; amphipods; salmon; cod; rainbow trout; halibut</t>
  </si>
  <si>
    <t>EUPHAUSIA-SUPERBA; ANTARCTIC KRILL; REPLACEMENT; RETENTION</t>
  </si>
  <si>
    <t>Meals produced from different marine invertebrate species have been suggested as good alternative protein sources in fish diets. The aim of this study was to evaluate the possible uptake of fluorine from krill (Thysanoessa inermis and Euphausia superba) and the amphipod Themisto libelulla in fish fed diets where the fish protein was partly or fully substituted with proteins from krill meal or amphipod meal. Feeding trials with Atlantic salmon (Salmo salar), Atlantic cod (Gadus morhua), rainbow trout (Onchorhyncus mykiss) and Atlantic halibut (Hippoglossus hippoglossus) were carried out, and fluorine were analysed in different organs, including muscle, bone and faeces as well as experimental diets and meals. Ampbipod meal had the highest fluorine level (4000:3800 mg kg(-1)), while meal from Thysanoessa inermis and Euphausia superba showed about one fourth of that level (780 +/- 160 mg kg(-1) and 1160 +/- 230 mg kg(-1), respectively). The fluorine concentration increased in the diets with increasing substitution of fish meal with krill or amphipod meal. Fluorine also increased in faeces with increasing fluorine levels in the diets. None of the analysed organs showed any increase in fluorine concentration compared to the control fish which was fed a diet with only fish meal as protein source. All four species were also fed a fish meal based diet where sodium fluoride (NaF) was added (150 mg F ka(-1) dry wt.). Again no organs showed any increase in fluorine levels. Growth and health parameters were not negatively altered. This indicates that the four fish species, when kept in a marine environment, were not affected by relatively high dietary fluorine level. (C) 2007 Elsevier B.V. All rights reserved.</t>
  </si>
  <si>
    <t>Natl Inst Nutr &amp; Seafood Res, N-5817 Bergen, Norway; Inst Marine Res, Matre Res Stn, N-5984 Matredal, Norway; Inst Marine Res, Austevoll Res Stn, N-5392 Storebo, Norway</t>
  </si>
  <si>
    <t>Institute of Marine Research - Norway; Institute of Marine Research - Norway</t>
  </si>
  <si>
    <t>Moren, M (corresponding author), Natl Inst Nutr &amp; Seafood Res, PO Box 2029, N-5817 Bergen, Norway.</t>
  </si>
  <si>
    <t>mari.moren@nifes.no</t>
  </si>
  <si>
    <t>Karlsen, Ørjan/K-6137-2012; Moren, Mari/C-1009-2012; Kjellevold, Marian/Q-6334-2019</t>
  </si>
  <si>
    <t>Karlsen, Ørjan/0000-0001-5801-4200; Kjellevold, Marian/0000-0001-7070-5784; Olsen, Rolf Erik/0000-0002-6633-5837</t>
  </si>
  <si>
    <t>10.1016/j.aquaculture.2007.04.059</t>
  </si>
  <si>
    <t>WOS:000249143600051</t>
  </si>
  <si>
    <t>Pedrini, B; Placzek, WJ; Koculi, E; Alimenti, C; LaTerza, A; Luporini, P; Wüethrich, K</t>
  </si>
  <si>
    <t>Pedrini, Bill; Placzek, William J.; Koculi, Eda; Alimenti, Claudio; LaTerza, Antonietta; Luporini, Pierangelo; Wuethrich, Kurt</t>
  </si>
  <si>
    <t>Cold-adaptation in sea-water-borne signal proteins:: Sequence and NMR structure of the pheromone En-6 from the antarctic ciliate Euplotes nobilii</t>
  </si>
  <si>
    <t>NMR structure; ciliate protein pheromones; cold adaptation; Euplotes nobilii</t>
  </si>
  <si>
    <t>TORSION ANGLE DYNAMICS; IDENTIFICATION; RAIKOVI; PROGRAM; AUTOCRINE; FAMILY; ER-2</t>
  </si>
  <si>
    <t>Ciliates of Euplotes species constitutively secrete pleiotropic protein pheromones, which are capable to function as prototypic autocrine growth factors as well as paracrine inducers of mating processes. This paper reports the amino acid sequence and the NMR structure of the pheromone En-6 isolated from the antarctic species Euplotes nobilii. The 63-residue En-6 polypeptide chain forms three alpha-helices in positions 18-25, 36-40 and 46-56, which are arranged in an up-down-up three-helix bundle forming the edges of a distorted trigonal pyramid. The base of the pyramid is covered by the N-terminal heptadecapeptide segment, which includes a 3(10)-turn of residues 3-6. This topology is covalently anchored by four long-range disulfide bonds. Comparison with the smaller pheromones of E. raikovi, a closely related species living in temperate waters, shows that the two-pheromone families have the same three-helix bundle architecture. It then appears that cold-adaptation of the En proteins is primarily related to increased lengths of the chain-terminal peptide segments and the surface-exposed loops connecting the regular secondary structures, and to the presence of solvent-exposed clusters of negatively charged side-chains. (C) 2007 Elsevier Ltd. All rights reserved.</t>
  </si>
  <si>
    <t>Skaggs Inst Chem Biol, Dept Mol Biol, La Jolla, CA 92037 USA; Scripps Res Inst, Dept Mol Biol, La Jolla, CA 92037 USA; Univ Camerino, Dept Mol Cellular &amp; Anim Biol, I-62032 Camerino, Italy</t>
  </si>
  <si>
    <t>Scripps Research Institute; Scripps Research Institute; University of Camerino</t>
  </si>
  <si>
    <t>Wüethrich, K (corresponding author), Skaggs Inst Chem Biol, Dept Mol Biol, 10550 N Torrey Pines Rd, La Jolla, CA 92037 USA.</t>
  </si>
  <si>
    <t>wuthrich@scripps.edu</t>
  </si>
  <si>
    <t>Placzek, William/AAG-1172-2020; Pedrini, Bill/J-2237-2018</t>
  </si>
  <si>
    <t>Placzek, William/0000-0003-4096-8617; Pedrini, Bill/0000-0003-4228-7874; La Terza, Antonietta/0000-0002-1244-1503; Wuthrich, Kurt/0000-0001-8739-6965; Alimenti, Claudio/0000-0003-2231-2948; Koculi, Eda/0000-0001-9477-555X</t>
  </si>
  <si>
    <t>1089-8638</t>
  </si>
  <si>
    <t>10.1016/j.jmb.2007.06.046</t>
  </si>
  <si>
    <t>209EQ</t>
  </si>
  <si>
    <t>WOS:000249372200001</t>
  </si>
  <si>
    <t>Böhme, M; Bruch, AA; Selmeier, A</t>
  </si>
  <si>
    <t>Boehme, Madelaine; Bruch, Angela A.; Selmeier, Alfted</t>
  </si>
  <si>
    <t>The reconstruction of Early and Middle Miocene climate and vegetation in Southern Germany as determined from the fossil wood flora</t>
  </si>
  <si>
    <t>Molasse basin; Miocene; Miocene Climatic Optimum; wood; vegetation; palaeoclimate</t>
  </si>
  <si>
    <t>CIRCULATION; GRADIENTS; NEOGENE; BASIN</t>
  </si>
  <si>
    <t>Early and Middle Miocene sediments of the North Alpine Foreland Basin (NAFB) in Southern Germany contain one of the world's richest regional records of silicified wood. Here we analyze over 1000 identifiable samples, belonging to 80 wood-anatomical taxa from 61 stratigraphically well-dated localities using principally the Coexistence Approach. The samples investigated originate from fluvial sediments representing periods of intensified surface runoff in the NAFB and therefore represent and provide information pertaining to the wet end-member of the fluctuating climate system. The dry end of the climate system is represented in the profiles either by hiatuses or palaeosoils. The dataset is split into four xylofloras: (1) the Ortenburg xyloflora (Late Otmangian; similar to 17.5 to 17.3 Ma) originating from a paratropical evergreen Carapoxylon (Xylocarpus) forest; (11) the Southern Franconian Alb xylollora (Late Karpatian; 17.0 to similar to 16.3 Ma) originating from a subtropical semi-deciduous limestone forest; (III) the upper Older Series xyloflora (Early Badenian; similar to 16.3 to similar to 15.3 Ma) originating from a subtropical oak-laurel forest; and (IV) the upper Middle Series xyloflora (Middle Badenian; 14.3 to similar to 13.8 Ma) originating from a subtropical dry deciduous forest. Our investigation documents the following important outcomes: (1) the Late Ottnangian seems to be the warmest period during the investigated time span, with a mean annual temperature (MAT) between 22.2 and 24.2 degrees C and a cold month temperature (CMT) around 16.7 degrees C. The Late Ottnangian is significantly warmer by at least 1.7 degrees C MAT and up to 3.4 degrees C CMT than the Mid-Miocene Climatic Optimum (i.e. MAT 17.4-20.5 degrees C and CMT 8.0-13.3 degrees C of the Late Karpatian to Middle Badenian, similar to 17 to similar to 13.8 My) and may correspond to the First Climatic Optimum (17.7-16.7 Ma) of the southern oceans [Pekar, S.F., Marchitto, T., Lynch-Steiglitz, J., 2002. Evidence for Water-Mass Changes on the Tasmanian Slope during the Early Miocene (19-16.5 Ma): Stable Isotope and Mg/Ca Records from ODP Leg 189 Site 1168. Eos, Transactions, American Geophysical Union 83(47), Fall Meet. Supplement, Abstract PP11C-06, F 926-927.]. (2) The cooling between both climate optima is documented by the Southern Franconian Alb xyloflora. and probably reflects the Mi2 build-up phase of the Antarctic ice-sheets. (3) From Late Otmangian to Middle Bademan the wet end-member of the climate system appears to be humid (Mean Annual Precipitation similar to 830-similar to 1.3 50 mm) and with relatively even distribution of rainfall throughout the year. Only the Late Karpatian is characterized by the occurrence of a distinct dry season probably occurring during the early spring or late autumn. (4) We attributed the Early to Middle Badenian vegetation change to an increase in intra-basin relief, rather than to a different climate. (C) 2007 Elsevier B.V. All rights reserved.</t>
  </si>
  <si>
    <t>Dept Earth &amp; Environm Sci, Sect Palaeontol, D-80333 Munich, Germany; Senckenberg Res Inst, D-60325 Frankfurt, Germany</t>
  </si>
  <si>
    <t>Senckenberg Gesellschaft fur Naturforschung (SGN)</t>
  </si>
  <si>
    <t>Böhme, M (corresponding author), Dept Earth &amp; Environm Sci, Sect Palaeontol, Richard Wagner Str 10, D-80333 Munich, Germany.</t>
  </si>
  <si>
    <t>m.boehme@lrz.uni.muenchen.de</t>
  </si>
  <si>
    <t>10.1016/j.palaeo.2007.03.035</t>
  </si>
  <si>
    <t>218DM</t>
  </si>
  <si>
    <t>WOS:000249996200006</t>
  </si>
  <si>
    <t>Hinkley, T; Matsumoto, A</t>
  </si>
  <si>
    <t>Hinkley, Todd; Matsumoto, Akikazu</t>
  </si>
  <si>
    <t>Mid-holocene change in types of degassing volcanoes, using indium in Antarctic ice as a tracer of volcanic source type</t>
  </si>
  <si>
    <t>ELEMENT PARTITION; SUBDUCTION; CALIFORNIA; EMISSIONS; LEAD</t>
  </si>
  <si>
    <t>Proportions of trace metals in Antarctic ice samples indicate that the type of volcanoes that dominated atmospheric emissions changed at about the middle of the Holocene from relatively mafic, deep source volcanoes to more silicic, shallower-source volcanoes. We base this inference on the strong contrast in the abundances of the trace metal indium ( In), relative to other trace metals present in ice, deposited at different times in the past, and on contrasting In abundances in modern emissions of volcanoes of different types. Indium is more abundant in the emissions of deep-source mafic volcanoes than in more felsic, shallower-source volcanoes. Earlier workers have shown, on the basis of petrologic and some meteoritic evidence, that In may be partitioned to the interiors ( stony mantles) of differentiated planets, or enriched in the liquids of partly crystallized mafic melts.</t>
  </si>
  <si>
    <t>US Geol Survey, Denver, CO 80225 USA; Geol Survey Japan, Tsukuba, Ibaraki 305, Japan</t>
  </si>
  <si>
    <t>United States Department of the Interior; United States Geological Survey</t>
  </si>
  <si>
    <t>Hinkley, T (corresponding author), US Geol Survey, Box 25046, Denver, CO 80225 USA.</t>
  </si>
  <si>
    <t>thinkley@usgs.gov</t>
  </si>
  <si>
    <t>SEP 13</t>
  </si>
  <si>
    <t>L17710</t>
  </si>
  <si>
    <t>10.1029/2007GL030056</t>
  </si>
  <si>
    <t>211IR</t>
  </si>
  <si>
    <t>WOS:000249518000001</t>
  </si>
  <si>
    <t>Thomas, GW; Peate, IU; Nakamoto, J; Pudenz, E; Glasgow, J; Bretthauer, J; Cabrol, N; Wettergreen, D; Grin, E; Coppin, P; Dohm, JM; Piatek, JL; Warren-Rhodes, K; Hock, AN; Weinstein, S; Fisher, G; Diaz, GC; Cockell, CS; Marinangeli, L; Minkley, N; Moersch, J; Ori, GG; Smith, T; Stubb, K; Wagner, M; Waggoner, AS</t>
  </si>
  <si>
    <t>Thomas, G. W.; Peate, I. Ukstins; Nakamoto, J.; Pudenz, E.; Glasgow, J.; Bretthauer, J.; Cabrol, N.; Wettergreen, D.; Grin, E.; Coppin, P.; Dohm, J. M.; Piatek, J. L.; Warren-Rhodes, K.; Hock, A. N.; Weinstein, S.; Fisher, G.; Diaz, G. Chong; Cockell, C. S.; Marinangeli, L.; Minkley, N.; Moersch, J.; Ori, G. G.; Smith, T.; Stubb, K.; Wagner, M.; Waggoner, A. S.</t>
  </si>
  <si>
    <t>Comparing different methods for assessing ground truth of rover data analysis for the 2005 season of the Life in the Atacama Project</t>
  </si>
  <si>
    <t>THEMATIC MAPPER DATA; NORTHWEST-TERRITORIES; FIELD EXPERIMENT; MARS; MISSIONS; HABITAT; SCIENCE; DESERT</t>
  </si>
  <si>
    <t>The scientific success of a remote exploration rover mission depends on the right combination of technology, teamwork and scientific insight. In order to quantitatively evaluate the success of a rover field trial, it is necessary to assess the accuracy of scientific interpretations made during the field test. This work compares three structured approaches to assessing the ground truth of scientific findings from a science team conducting a remote investigation of a locale using an autonomous rover. For the first approach, independent assessment, the daily science summaries were analyzed and reduced to a series of 1082 factual statements, which were treated as hypotheses. An independent scientist traveled to the field area to assess these hypotheses. For the second approach, guided self-study, the mission scientists themselves traveled to the field area and evaluated their own scientific interpretations. The third approach, discrepancy investigation, searched for the root causes of differences between the scientific interpretations made in the control room and those made in the field. The independent investigation provided sensitive, quantitative data, but suffered from the lack of context and continuity developed in the mission control room. The guided evaluation benefited from the context of the mission, but lacked clarity and consistency. The discrepancy investigation provided insight into the root causes behind the discrepancies, but was expensive and time consuming. The independent investigation method yielded particularly compelling results, but each method offers advantages and a comprehensive rover field trial assessment should include a combination of all three.</t>
  </si>
  <si>
    <t>Univ Iowa, Dept Mech &amp; Ind Engn, Iowa City, IA 52242 USA; NASA, Ames Res Ctr, Moffett Field, CA 94035 USA; SETI Inst, Mountain View, CA USA; Carnegie Mellon Univ, Inst Robot, Pittsburgh, PA 15213 USA; Univ Arizona, Dept Hydrol &amp; Water Resources, Tucson, AZ 85721 USA; Univ Tennessee, Dept Earth &amp; Planetary Sci, Knoxville, TN 37996 USA; Univ Calif Los Angeles, Dept Earth &amp; Space Sci, Los Angeles, CA 90095 USA; Carnegie Mellon Univ, Mol Biosensor &amp; Imaging Ctr, Pittsburgh, PA 15213 USA; Univ Catholica Norte, Antofagasta, Chile; British Antarctic Survey, Cambridge CB3 0ET, England; IRSPS, I-65127 Pescara, Italy</t>
  </si>
  <si>
    <t>University of Iowa; National Aeronautics &amp; Space Administration (NASA); NASA Ames Research Center; Carnegie Mellon University; University of Arizona; University of Tennessee System; University of Tennessee Knoxville; University of California System; University of California Los Angeles; Carnegie Mellon University; Universidad Catolica del Norte; UK Research &amp; Innovation (UKRI); Natural Environment Research Council (NERC); NERC British Antarctic Survey</t>
  </si>
  <si>
    <t>Thomas, GW (corresponding author), Univ Iowa, Dept Mech &amp; Ind Engn, Iowa City, IA 52242 USA.</t>
  </si>
  <si>
    <t>Moersch, Jeffrey E/F-7189-2010; Dohm, James M/A-3831-2014; Glasgow, Justin/AAG-2728-2020</t>
  </si>
  <si>
    <t>Glasgow, Justin/0000-0003-1449-2643; Wettergreen, David/0000-0002-4262-7018; Ukstins, Ingrid/0000-0002-2315-9626; Smith, Trey/0000-0001-8650-8566; Thomas, Geb/0000-0001-5032-4001; MARINANGELI, Lucia/0000-0001-5417-6122; ORI, Gian Gabriele/0000-0002-6460-1476</t>
  </si>
  <si>
    <t>G04S09</t>
  </si>
  <si>
    <t>10.1029/2006JG000318</t>
  </si>
  <si>
    <t>211JC</t>
  </si>
  <si>
    <t>WOS:000249519100002</t>
  </si>
  <si>
    <t>Gaiero, DM</t>
  </si>
  <si>
    <t>Gaiero, Diego M.</t>
  </si>
  <si>
    <t>Dust provenance in Antarctic ice during glacial periods: From where in southern South America?</t>
  </si>
  <si>
    <t>TERRIGENOUS SEDIMENT; DOME-C; TRANSPORT; PATAGONIA; LOESS; ALTIPLANO; ARGENTINA; SIGNATURE; PLATEAU; MAXIMUM</t>
  </si>
  <si>
    <t>The origin of dust deposited in East Antarctica is not fully understood yet. This study demonstrates that, contrary to Nd, Sr isotopes are strongly fractionated in the finest-sized material representing potential dust sources in South America. Analysis of Nd isotopes suggests that Argentine loess, Southern Ocean sediments and Antarctic dust, may all have a related origin or can represent comparable mechanisms of eolian sediment transport and deposition. This analysis also concludes that the Patagonian signature can explain a high proportion of the isotopic composition of dust trapped in Antarctic ice during glacial periods. The Puna-Altiplano plateau emerges as the second possible important sediment contributor explaining the crustal-like signature found in East Antarctic dust and should be considered as a potential source area when Quaternary paleoclimate is reconstructed from Argentine loess, Antarctic dust and South Atlantic sediment records.</t>
  </si>
  <si>
    <t>Univ Nacl Cordoba, CONICET, CICTERRA, CIGeS, Cordoba, Argentina</t>
  </si>
  <si>
    <t>Consejo Nacional de Investigaciones Cientificas y Tecnicas (CONICET); National University of Cordoba</t>
  </si>
  <si>
    <t>Gaiero, DM (corresponding author), Univ Nacl Cordoba, CONICET, CICTERRA, CIGeS, V Sarsfield 1611 X5016GCA, Cordoba, Argentina.</t>
  </si>
  <si>
    <t>Gaiero, Diego Marcelo/0000-0003-1029-2265</t>
  </si>
  <si>
    <t>SEP 12</t>
  </si>
  <si>
    <t>L17707</t>
  </si>
  <si>
    <t>10.1029/2007GL030520</t>
  </si>
  <si>
    <t>211IQ</t>
  </si>
  <si>
    <t>WOS:000249517900005</t>
  </si>
  <si>
    <t>Dowdy, AJ; Vincent, RA; Tsutsumi, M; Igarashi, K; Murayama, Y; Singer, W; Murphy, DJ</t>
  </si>
  <si>
    <t>Dowdy, Andrew J.; Vincent, Robert A.; Tsutsumi, Masaki; Igarashi, Kiyoshi; Murayama, Yasuhiro; Singer, Werner; Murphy, Damian J.</t>
  </si>
  <si>
    <t>Polar mesosphere and lower thermosphere dynamics: Mean wind and gravity wave climatologies</t>
  </si>
  <si>
    <t>MIDDLE ATMOSPHERE; THERMAL STRUCTURE; WATER-VAPOR; NOCTILUCENT CLOUDS; SUMMER MESOPAUSE; TEMPERATURE; ANTARCTICA; PMSE; CIRCULATION; MOTIONS</t>
  </si>
  <si>
    <t>Mean wind and gravity wave climatologies are presented for the polar mesosphere and lower thermosphere ( MLT). The data were derived using MF radars at Davis (69 degrees S, 78 degrees E) and Syowa (69 degrees S, 40 degrees E) in the Antarctic and Poker Flat (65 degrees N, 147 degrees W) and Andenes (69 degrees N, 16 degrees E) in the Arctic. The dynamics of the Antarctic MLT are found to be significantly different from the Arctic MLT. Summer maxima in both the westward and equatorward winds occur closer to the solstice in the Antarctic than in the Arctic. The greater symmetry around the solstice suggests radiative effects may play a greater role in controlling the state of the Antarctic MLT than in the Arctic, where dynamical effects appear to be more important. Gravity wave observations also suggest that wave drag may be greater in the Arctic than in the Antarctic. The equatorward flow near the mesopause persists later in summer in the Arctic than in the Antarctic, as do observations of polar mesospheric clouds and polar mesospheric summer echoes. All three phenomena begin at about the same time in each hemisphere, but end later in the Arctic than in the Antarctic. It is proposed that the magnitude of the meridional winds can be used as a proxy for gravity wave driving and the consequent adiabatic cooling in the MLT. Seasonal variations in gravity wave activity are predominately combinations of annual and semiannual components. Significant hemispheric differences are observed for both the timing and magnitude of these seasonal variations.</t>
  </si>
  <si>
    <t>Univ Adelaide, Dept Phys, Adelaide, SA, Australia; Natl Inst Polar Res, Tokyo, Japan; Natl Inst Informat &amp; Commun Technol, Koganei, Tokyo, Japan; Leibniz Inst Atmospher Phys, Kuhlungsborn, Germany; Australian Govt Antartic Div, Kingston, Tas, Australia</t>
  </si>
  <si>
    <t>University of Adelaide; Research Organization of Information &amp; Systems (ROIS); National Institute of Polar Research (NIPR) - Japan; National Institute of Information &amp; Communications Technology (NICT) - Japan; Leibniz Institut fur Atmospharenphysik e.V. an der Universitat Rostock (IAP)</t>
  </si>
  <si>
    <t>Dowdy, AJ (corresponding author), Univ Adelaide, Dept Phys, Adelaide, SA, Australia.</t>
  </si>
  <si>
    <t>andrew.dowdy@adelaide.edu.au; robert.vincent@adelaide.edu.au; tutumi@uap.nipr.ac.jp; igarashi@nict.go.jp; murayama@nict.go.jp; singer@iap-kborn.de; damian.murphy@aad.gov.au</t>
  </si>
  <si>
    <t>Murayama, Yasuhiro/ABF-1698-2020; Vincent, Robert A/E-5450-2013; Dowdy, Andrew/J-3414-2016</t>
  </si>
  <si>
    <t>Murayama, Yasuhiro/0000-0003-1129-334X; Vincent, Robert A/0000-0001-6559-6544; Dowdy, Andrew/0000-0003-0720-4471</t>
  </si>
  <si>
    <t>SEP 11</t>
  </si>
  <si>
    <t>D17</t>
  </si>
  <si>
    <t>D17104</t>
  </si>
  <si>
    <t>10.1029/2006JD008126</t>
  </si>
  <si>
    <t>211IW</t>
  </si>
  <si>
    <t>WOS:000249518500002</t>
  </si>
  <si>
    <t>Dowdy, AJ; Vincent, RA; Tsutsumi, M; Igarashi, K; Murayama, Y; Singer, W; Murphy, DJ; Riggin, DM</t>
  </si>
  <si>
    <t>Dowdy, Andrew J.; Vincent, Robert A.; Tsutsumi, Masaki; Igarashi, Kiyoshi; Murayama, Yasuhiro; Singer, Werner; Murphy, Damian J.; Riggin, D. M.</t>
  </si>
  <si>
    <t>Polar mesosphere and lower thermosphere dynamics: Response to sudden stratospheric warmings</t>
  </si>
  <si>
    <t>GRAVITY-WAVE ACTIVITY; SOUTHERN-HEMISPHERE; LIDAR OBSERVATIONS; MIDDLE ATMOSPHERE; VARIABILITY; CIRCULATION; DISTURBANCES; PROPAGATION; VORTEX; WINTER</t>
  </si>
  <si>
    <t>The dynamical response of the polar mesosphere and lower thermosphere (MLT) to sudden stratospheric warmings is investigated using MF radars at Davis (69 degrees S, 78 degrees E), Syowa (69 degrees S, 40 degrees E) and Rothera (68 degrees S, 68 degrees W) in the Antarctic and Poker Flat (65 degrees N, 147 degrees W) and Andenes (69 degrees N, 16 degrees E) in the Arctic. Mean winds, gravity waves and planetary waves are investigated during sudden stratospheric warmings, and comparisons are made with climatological means. The available MF radar data set includes six major sudden stratospheric warmings in the Northern Hemisphere and the unprecedented 2002 Southern Hemisphere major stratospheric warming. Three of the six northern events are relatively weak and could almost be classed as minor warmings, while the larger three have similar characteristics to the event in the Southern Hemisphere. Zonal wind reversals associated with the major warmings in both hemispheres are generally weaker and earlier by several days in the mesosphere than in the stratosphere. There are, however, significant differences between locations in their response to stratospheric warmings. The zonal winds are remarkably weaker than average during both winter and spring around the time of the southern major warming of 2002, but these effects are not observed for the Northern Hemisphere events. Gravity wave activity is found to vary significantly between individual stratospheric warming events and also between individual locations.</t>
  </si>
  <si>
    <t>Univ Adelaide, Dept Phys, Adelaide, SA, Australia; Natl Inst Polar Res, Tokyo, Japan; Natl Inst Informat &amp; Commun Technol, Koganei, Japan; Leibniz Inst Atmospher Phys, Kuhlungsborn, Germany; Australian Antarctic Div, Kingston, Tas, Australia; Div NW Res Assoc, Colorado Res Assoc, Boulder, CO USA</t>
  </si>
  <si>
    <t>University of Adelaide; Research Organization of Information &amp; Systems (ROIS); National Institute of Polar Research (NIPR) - Japan; National Institute of Information &amp; Communications Technology (NICT) - Japan; Leibniz Institut fur Atmospharenphysik e.V. an der Universitat Rostock (IAP); Australian Antarctic Division; NorthWest Research Associates</t>
  </si>
  <si>
    <t>dowdy@adelaide.edu.au; robert.vincent@adelaide.edu.au; tutumi@uap.nipr.ac.jp; igarashi@nict.go.jp; murayama@ict.go.jp; singer@iap-kborn.de; damian.murphy@aad.gov.au; riggin@colorado-research.com</t>
  </si>
  <si>
    <t>D17105</t>
  </si>
  <si>
    <t>10.1029/2006JD008127</t>
  </si>
  <si>
    <t>WOS:000249518500003</t>
  </si>
  <si>
    <t>Moller, PR; King, N</t>
  </si>
  <si>
    <t>Moller, Peter Rask; King, Nicola</t>
  </si>
  <si>
    <t>Two new species of Pachycara (Teleostei: Zoarcidae) from the sub-Antarctic southern Indian Ocean, and a range extension of Lycenchelys antarctica</t>
  </si>
  <si>
    <t>During the multidisciplinary benthic Crozet research cruise (RRS DISCOVERY, D300), December 2005 to January 2006, in the abyssal vicinity of the Crozet Islands, southern Indian Ocean, two new species of Pachycara were collected, along with specimens of Lycenchelys antarctica. Pachycara priedei, new species, and P. cousinsi, new species, described herein are similar in lack of pelvic fin, naked abdomen and predorsal area, and number of head pores. They differ from their congeners by the pink coloration and long predorsal distance, respectively. The records of L. antarctica extend the range of the species about 60 to the east, into the southern Indian Ocean.</t>
  </si>
  <si>
    <t>pdrmoller@snm.ku.dk</t>
  </si>
  <si>
    <t>Møller, Peter/A-8807-2013</t>
  </si>
  <si>
    <t>Møller, Peter/0000-0002-0177-0977</t>
  </si>
  <si>
    <t>AMER SOC ICHTHYOLOGISTS &amp; HERPETOLOGISTS</t>
  </si>
  <si>
    <t>MIAMI</t>
  </si>
  <si>
    <t>MAUREEN DONNELLY, SECRETARY FLORIDA INT UNIV BIOLOGICAL SCIENCES, 11200 SW 8TH STREET, MIAMI, FL 33199 USA</t>
  </si>
  <si>
    <t>1938-5110</t>
  </si>
  <si>
    <t>SEP 10</t>
  </si>
  <si>
    <t>210WT</t>
  </si>
  <si>
    <t>WOS:000249487000008</t>
  </si>
  <si>
    <t>Gajananda, K; Dutta, HN; Lagun, VE</t>
  </si>
  <si>
    <t>Gajananda, Khwairakpam; Dutta, H. N.; Lagun, V. E.</t>
  </si>
  <si>
    <t>An episode of coastal advection fog over East Antarctica</t>
  </si>
  <si>
    <t>acoustic sounder; meteorology; microbiotic; crust; radiosonde; Schirmacher Oasis</t>
  </si>
  <si>
    <t>CALIFORNIA; ECOSYSTEM; DESERT</t>
  </si>
  <si>
    <t>An episode of fog during 8-9 January 1996 over the Schirmacher Oasis of East Antarctica was investigated., It revealed that the fog was formed due to advection of southeasterly winds by high moisture-containing northwesterly winds, blowing from the ocean over the cold ice shelf, which leads to the condensation of moisture, thereby forming fog for a duration of about 24 h. A monostatic acoustic sodar recorded the episode, which revealed the thickness of fog layer up to an altitude of about 300 to 400 in. Supplementary meteorological and radiosonde data were utilized to understand the mechanisms of the formation and dissipation of advection fog in this region. Supporting literature illustrates that this type of fog is an important source of water for photosynthesis, growth, reproduction and other metabolic activities of the poikilohydric microbiotic crust inhabiting the cold, arid and dry ecosystem of the coastal East Antarctic oases.</t>
  </si>
  <si>
    <t>Shriram Inst Ind Res, Environm Protect Div, Delhi 110007, India; Natl Phys Lab, Radio &amp; Atmospher Sci Div, New Delhi 110012, India; Arctic &amp; Antarctic Res Inst, St Petersburg 199397, Russia</t>
  </si>
  <si>
    <t>Council of Scientific &amp; Industrial Research (CSIR) - India; CSIR - National Physical Laboratory (NPL); Arctic &amp; Antarctic Research Institute</t>
  </si>
  <si>
    <t>Gajananda, K (corresponding author), Shriram Inst Ind Res, Environm Protect Div, 19 Univ Rd, Delhi 110007, India.</t>
  </si>
  <si>
    <t>gajkh@yahoo.com</t>
  </si>
  <si>
    <t>Gajananda, Khwairakpam/AAG-2338-2020</t>
  </si>
  <si>
    <t>INDIAN ACAD SCIENCES</t>
  </si>
  <si>
    <t>C V RAMAN AVENUE, SADASHIVANAGAR, P B #8005, BANGALORE 560 080, INDIA</t>
  </si>
  <si>
    <t>211UN</t>
  </si>
  <si>
    <t>WOS:000249548900021</t>
  </si>
  <si>
    <t>Janzhura, A; Troshichev, O; Stauning, P</t>
  </si>
  <si>
    <t>Janzhura, A.; Troshichev, O.; Stauning, P.</t>
  </si>
  <si>
    <t>Unified PC indices:: Relation to isolated magnetic substorms</t>
  </si>
  <si>
    <t>FIELD-ALIGNED CURRENTS; POLAR-CAP INDEX; SEASONAL-VARIATIONS; AE; AL</t>
  </si>
  <si>
    <t>To study the relations of the polar cap magnetic activity ( characterized by unified PC indices) to magnetic disturbances in the auroral zone (AE, AL, and AU indices) the average behavior of isolated magnetic disturbances was examined. The statistical analysis of the sudden isolated magnetic substorms, occurring on the background of the quiescent magnetic field, showed that the PC index increases during the hour before the substorm onset, demonstrating the growth phase development. The PC index in the summer polar cap ( the summer PC) turned out to be growing much faster than that in the winter polar cap and reached, by the time of the sudden onset, a higher value than the winter PC index, irrespective of the disturbance intensity. After the sudden onset ( during the expansion phase) the summer PC index changes little ( or even decreases in cases of long powerful substorms), contrary to the winter PC index that changes in conformity with the course of the magnetic substorm. The results give evidence that the summer PC index, being mostly affected by the geoeffective interplanetary electric field, is not responding as strongly to auroral disturbances as the winter PC index, which relies more on the auroral conductivity. The physical meaning of the discrepancy in the behavior of the summer and winter PC indices is discussed.</t>
  </si>
  <si>
    <t>Arctic &amp; Antarctic Res Inst, St Petersburg 199226, Russia; Danish Inst Fundamental Metrol, Copenhagen, Denmark</t>
  </si>
  <si>
    <t>Arctic &amp; Antarctic Research Institute; Danish Fundamental Metrology</t>
  </si>
  <si>
    <t>Janzhura, A (corresponding author), Arctic &amp; Antarctic Res Inst, St Petersburg 199226, Russia.</t>
  </si>
  <si>
    <t>SEP 8</t>
  </si>
  <si>
    <t>A09207</t>
  </si>
  <si>
    <t>10.1029/2006JA012132</t>
  </si>
  <si>
    <t>209FE</t>
  </si>
  <si>
    <t>WOS:000249373600003</t>
  </si>
  <si>
    <t>Ivanov, VV; Golovin, PN</t>
  </si>
  <si>
    <t>Ivanov, Vladimir V.; Golovin, Pavel N.</t>
  </si>
  <si>
    <t>Observations and modeling of dense water cascading from the northwestern Laptev Sea shelf</t>
  </si>
  <si>
    <t>ARCTIC-OCEAN; CONTINENTAL-SHELF; AMBIENT STRATIFICATION; OFFSHORE TRANSPORT; COASTAL POLYNYAS; INTERMEDIATE; VARIABILITY; VENTILATION; TOPOGRAPHY; HALOCLINE</t>
  </si>
  <si>
    <t>We examine dense water cascading from the northwestern Laptev Sea shelf in the Arctic Ocean. This region is believed to be a potential site of dense water formation through ice freezing and brine ejection. Climate data indicate the presence of saltier/denser water on the shelf all year round. Tongues of dense water spreading from the shelf to the continental slope and reaching a depth of 300-400 m are reported in some historical hydrographic surveys. In this study we recreate dense water cascading from the Laptev Sea shelf by filling a gap between two sequential hydrographic surveys with numerical model output. From October 1984 to April 1985, ice formation over the shelf provided salt input almost 5 times greater than the amount that was accumulated in the shelf waters. This excessive salt was transported off the shelf mainly by baroclinic eddies and also by mean outflow through the bottom boundary layer. Shelf origin dense water would have reached at least 1000-m depth, but strong stratification prevented it from penetrating deeper than 400 m downslope. Contribution of mean downslope flow to heat and salt exchange between shelf and slope is on the average 4 times smaller than that caused by eddy fluxes. Hence, although the volume transport associated with cascading is relatively small (similar to 0.02 Sv), heat and salt fluxes are large enough to provide cooling and freshening of Atlantic Water, which propagates along the Siberian continental slope.</t>
  </si>
  <si>
    <t>Ivanov, VV (corresponding author), Univ Alaska Fairbanks, Inst Geophys, Int Arctic Res Ctr, Fairbanks, AK 99775 USA.</t>
  </si>
  <si>
    <t>Ivanov, Vladimir/J-5979-2014; Ivanov, Vladimir/AAX-6830-2020</t>
  </si>
  <si>
    <t>Ivanov, Vladimir/0000-0003-2569-6027;</t>
  </si>
  <si>
    <t>SEP 7</t>
  </si>
  <si>
    <t>C9</t>
  </si>
  <si>
    <t>C09003</t>
  </si>
  <si>
    <t>10.1029/2006JC003882</t>
  </si>
  <si>
    <t>209EY</t>
  </si>
  <si>
    <t>WOS:000249373000001</t>
  </si>
  <si>
    <t>Dowdeswell, JA; Bamber, JL</t>
  </si>
  <si>
    <t>Dowdeswell, J. A.; Bamber, J. L.</t>
  </si>
  <si>
    <t>Keel depths of modem Antarctic icebergs and implications for sea-floor scouring in the geological record</t>
  </si>
  <si>
    <t>MARINE GEOLOGY</t>
  </si>
  <si>
    <t>Antarctica; icebergs; iceberg keel depths; ice shelves; satellite radar altimetry; sea-floor scouring</t>
  </si>
  <si>
    <t>LAST GLACIAL MAXIMUM; PINE ISLAND GLACIER; CALVING ICE FRONTS; MASS-BALANCE; CONTINENTAL-SHELF; YERMAK PLATEAU; SCORESBY-SUND; LEVEL CHANGE; SHEET; OCEAN</t>
  </si>
  <si>
    <t>icebergs affect the geological record through the scouring or ploughing action of their keels, reworking sediments where they contact the sea floor. Satellite radar-altimeter measurements of the surface elevation of the marine margins of the Antarctic Ice Sheet are inverted to produce ice-thickness values. These data are assumed to represent the keel depths of newly-calved icebergs. There are three peaks in the frequency distribution of Antarctic iceberg-keel depths: (a) about 140-200 m in thickness, associated with smaller ice shelves fringing Antarctica (e.g. Wilkins, George VI and Brunt ice shelves); (b) about 250-300 m, from large ice shelves (e.g. Ross, Ronne, Amery); and (c) approximately 500-600 m, from fast-flowing ice-sheet outlet glaciers (e.g. Pine Island and Dibble glaciers), together with the Filchner Ice Shelf. Controls on iceberg keel depth are ice thickness at the grounding line, creep thinning and the rate of melting/freezing at the floating ice-shelf base with distance to the calving margin. The distribution of sea-floor scours produced by iceberg-grounding is dependent on the changing form and flow of the glaciers and ice sheets from which icebergs are derived and on berg drift tracks and melt rates. Sea-floor evidence for icebergs with particularly deep keels has sometimes been interpreted to indicate the presence of extensive former ice shelves. However, the largest modem Antarctic ice shelves do not produce large numbers of icebergs thicker than about 350 m, implying that sea-floor scours found in deeper water are unlikely to be an indicator of extensive past ice-shelf development. Iceberg scours found at water depths in excess of about 500 m in the geological record are, instead, probably indicative of either: (a) the former presence of fast-flowing ice-sheet outlet glaciers; (b) ice shelves fed from major interior basins where lateral spreading is constrained topographically;, or (c) a pulse of large icebergs released during major deglaciation or ice-sheet collapse. (c) 2007 Elsevier B.V. All rights reserved.</t>
  </si>
  <si>
    <t>Univ Cambridge, Scott Polar Res Inst, Cambridge CB2 1ER, England; Univ Bristol, Sch Geog Sci, Bristol Glaciol Ctr, Bristol BS8 1SS, Avon, England</t>
  </si>
  <si>
    <t>University of Cambridge; University of Bristol</t>
  </si>
  <si>
    <t>Dowdeswell, JA (corresponding author), Univ Cambridge, Scott Polar Res Inst, Cambridge CB2 1ER, England.</t>
  </si>
  <si>
    <t>jdl6@cam.ac.uk</t>
  </si>
  <si>
    <t>Bamber, Jonathan/C-7608-2011</t>
  </si>
  <si>
    <t>Bamber, Jonathan/0000-0002-2280-2819; Dowdeswell, Julian/0000-0003-1369-9482</t>
  </si>
  <si>
    <t>0025-3227</t>
  </si>
  <si>
    <t>1872-6151</t>
  </si>
  <si>
    <t>MAR GEOL</t>
  </si>
  <si>
    <t>Mar. Geol.</t>
  </si>
  <si>
    <t>SEP 6</t>
  </si>
  <si>
    <t>10.1016/j.margeo.2007.04.008</t>
  </si>
  <si>
    <t>210TU</t>
  </si>
  <si>
    <t>WOS:000249479300007</t>
  </si>
  <si>
    <t>Rodehacke, CB; Hellmer, HH; Beckmann, A; Roether, W</t>
  </si>
  <si>
    <t>Rodehacke, C. B.; Hellmer, H. H.; Beckmann, A.; Roether, W.</t>
  </si>
  <si>
    <t>Formation and spreading of Antarctic deep and bottom waters inferred from a chlorofluorocarbon (CFC) simulation</t>
  </si>
  <si>
    <t>WEDDELL SEA; NUMERICAL-MODEL; OCEAN MODEL; CIRCULATION; TRANSPORT; VENTILATION; ORIGIN; ICE</t>
  </si>
  <si>
    <t>[1] The formation of deep and bottom waters along Antarctica's perimeter is determined by ocean interaction with the atmosphere, sea ice, ice shelves, and bottom topography. It initiates a chain of processes that contribute to the ventilation of the global abyss. To identify the formation sites and investigate the combined effects of the local forcing mechanisms on water mass transformation and spreading in the Southern Ocean, chlorofluorocarbon (CFC) simulations with the regional ocean circulation model (BRIOS- 1) were performed. The model uses terrain-following vertical coordinates to better represent both near-bottom and mixed layer processes, and includes an explicit formulation of the ice shelf-ocean interaction. In agreement with observations, the results show the main deep and bottom water formations sites to be located in the Ross Sea, Prydz Bay, and southwestern Weddell Sea. The Ross Sea ventilates the South East Pacific and Australian Antarctic Basins. Both Ross Sea and Prydz Bay ventilate via the Antarctic Coastal Current the Weddell-Enderby Basin. The latter signal is overprinted by sources in the Weddell Sea which ventilate the south Scotia Sea and also the Weddell- Enderby Basin. Despite the general agreement between observed and simulated quantities like bottom layer CFC distribution and inventories along the Greenwich Meridian, the model tends to underestimate the ventilation of the abyssal ocean like other models with coarse resolution.</t>
  </si>
  <si>
    <t>Univ Helsinki, Helsinki, Finland; Univ Bremen, Inst Environm Phys, Dept Oceanog, Bremen, Germany; Alfred Wegener Inst Polar &amp; Marine Sci, Bremerhaven, Germany</t>
  </si>
  <si>
    <t>University of Helsinki; University of Bremen; Helmholtz Association; Alfred Wegener Institute, Helmholtz Centre for Polar &amp; Marine Research</t>
  </si>
  <si>
    <t>Rodehacke, CB (corresponding author), Columbia Univ, Dept Appl Phys &amp; Appl Math, New York, NY 10027 USA.</t>
  </si>
  <si>
    <t>crodehacke@giss.nasa.gov; hartmut.hellmer@awi.de; aike.beckmann@helsinki.fi; wroether@physik.uni-bremen.de</t>
  </si>
  <si>
    <t>Hellmer, Hartmut/0000-0002-9357-9853; Rodehacke, Christian/0000-0003-3110-3857</t>
  </si>
  <si>
    <t>SEP 5</t>
  </si>
  <si>
    <t>C09001</t>
  </si>
  <si>
    <t>10.1029/2006JC003884</t>
  </si>
  <si>
    <t>209EW</t>
  </si>
  <si>
    <t>WOS:000249372800001</t>
  </si>
  <si>
    <t>Deagle, BE; Gales, NJ; Evans, K; Jarman, SN; Robinson, S; Trebilco, R; Hindell, MA</t>
  </si>
  <si>
    <t>Deagle, Bruce E.; Gales, Nick J.; Evans, Karen; Jarman, Simon N.; Robinson, Sarah; Trebilco, Rowan; Hindell, Mark A.</t>
  </si>
  <si>
    <t>Studying Seabird Diet through Genetic Analysis of Faeces: A Case Study on Macaroni Penguins (Eudyptes chrysolophus)</t>
  </si>
  <si>
    <t>PLOS ONE</t>
  </si>
  <si>
    <t>SEALS PHOCA-VITULINA; CHRYSOCOME-CHRYSOCOME; SALMONID PREY; GUT CONTENTS; DNA; ISLAND; IDENTIFICATION; IDENTIFY; FOOD; SEGREGATION</t>
  </si>
  <si>
    <t>Background. Determination of seabird diet usually relies on the analysis of stomach-content remains obtained through stomach flushing; this technique is both invasive and logistically difficult. We evaluate the usefulness of DNA-based faecal analysis in a dietary study on chick-rearing macaroni penguins (Eudyptes chrysolophus) at Heard Island. Conventional stomach-content data was also collected, allowing comparison of the approaches. Methodology/Principal Findings. Prey-specific PCR tests were used to detect dietary DNA in faecal samples and amplified prey DNA was cloned and sequenced. Of the 88 faecal samples collected, 39 contained detectable DNA from one or more of the prey groups targeted with PCR tests. Euphausiid DNA was most commonly detected in the early (guard) stage of chick-rearing, and detection of DNA from the myctophid fish Krefftichthys anderssoni and amphipods became more common in samples collected in the later (creche) stage. These trends followed those observed in the penguins' stomach contents. In euphausiid-specific clone libraries the proportion of sequences from the two dominant euphausiid prey species (Euphausia vallentini and Thysanoessa macrura) changed over the sampling period; again, this reflected the trend in the stomach content data. Analysis of prey sequences in universal clone libraries revealed a higher diversity of fish prey than identified in the stomachs, but non-fish prey were not well represented. Conclusions/Significance. The present study is one of the first to examine the full breadth of a predator's diet using DNA-based faecal analysis. We discuss methodological difficulties encountered and suggest possible refinements. Overall, the ability of the DNA-based approach to detect temporal variation in the diet of macaroni penguins indicates this non-invasive method will be generally useful for monitoring population-level dietary trends in seabirds.</t>
  </si>
  <si>
    <t>[Deagle, Bruce E.; Evans, Karen; Trebilco, Rowan; Hindell, Mark A.] Univ Tasmania, Sch Zool, Hobart, Tas, Australia; [Deagle, Bruce E.; Gales, Nick J.; Jarman, Simon N.; Robinson, Sarah] Australian Govt Antarctic Div, Kingston, Tas, Australia</t>
  </si>
  <si>
    <t>Deagle, BE (corresponding author), Univ Tasmania, Sch Zool, Hobart, Tas, Australia.</t>
  </si>
  <si>
    <t>Deagle, Bruce E/A-9854-2008; evans, karen/D-7110-2012; Hindell, Mark A/C-8368-2013; Hindell, Mark A/K-1131-2013; Deagle, Bruce E/R-2999-2019; Trebilco, Rowan/I-5311-2012; Jarman, Simon/H-9265-2016</t>
  </si>
  <si>
    <t>Deagle, Bruce E/0000-0001-7651-3687; Trebilco, Rowan/0000-0001-9712-8016; Hindell, Mark/0000-0002-7823-7185; Evans, Karen/0000-0003-2205-4264; Jarman, Simon/0000-0002-0792-9686</t>
  </si>
  <si>
    <t>Australian Government Antarctic Division</t>
  </si>
  <si>
    <t>Australian Government Antarctic Division(Australian Government)</t>
  </si>
  <si>
    <t>The research was funded by the Australian Government Antarctic Division.</t>
  </si>
  <si>
    <t>PUBLIC LIBRARY SCIENCE</t>
  </si>
  <si>
    <t>SAN FRANCISCO</t>
  </si>
  <si>
    <t>1160 BATTERY STREET, STE 100, SAN FRANCISCO, CA 94111 USA</t>
  </si>
  <si>
    <t>1932-6203</t>
  </si>
  <si>
    <t>PLoS One</t>
  </si>
  <si>
    <t>e831</t>
  </si>
  <si>
    <t>10.1371/journal.pone.0000831</t>
  </si>
  <si>
    <t>V10HQ</t>
  </si>
  <si>
    <t>Green Submitted, Green Published, gold</t>
  </si>
  <si>
    <t>WOS:000207455500015</t>
  </si>
  <si>
    <t>Yu, Y; Cai, XM; Qie, XS</t>
  </si>
  <si>
    <t>Yu, Ye; Cai, Xiaoming; Qie, Xiushu</t>
  </si>
  <si>
    <t>Influence of topography and large-scale forcing on the occurrence of katabatic flow jumps in Antarctica: Idealized simulations</t>
  </si>
  <si>
    <t>Antarctic; katabatic jump; numerical simulation; RAMS</t>
  </si>
  <si>
    <t>TERRA-NOVA BAY; WIND REGIME; ADELIE LAND; NUMERICAL SIMULATIONS; SURFACE WINDS; COATS LAND; ICE SHELF; DYNAMICS; ATMOSPHERE; CONTINENT</t>
  </si>
  <si>
    <t>The Regional Atmospheric Modeling System (RAMS), which is a non-hydrostatic numerical model, has been used to investigate the impact of terrain shape and large-scale forcing on the Antarctic surface-wind regime, focusing on their roles in establishing favorable flow conditions for the formation of katabatic flow jumps. A series of quasi-21) numerical simulations were conducted over idealized slopes representing the slopes of Antarctica during austral winter conditions. Results indicate that the steepness and variations of the underlying slope play a role in the evolution of near-surface flows and thus the formation of katabatic flow jumps. However, large-scale forcing has a more noticeable effect on the occurrence of this small-scale phenomenon by establishing essential upstream and downstream flow conditions, including the upstream supercritical flow, the less stably stratified or unstable layer above the cold katabatic layer, as well as the cold-air pool located near the foot of the slope through an interaction with the underlying topography. Thus, the areas with steep and abrupt change in slopes, e.g. near the coastal areas of the eastern Antarctic, are preferred locations for the occurrence of katabatic flow jumps, especially under supporting synoptic conditions.</t>
  </si>
  <si>
    <t>Univ Birmingham, Sch Geog Earth &amp; Environm Sci, Birmingham B15 2TT, W Midlands, England; Chinese Acad Sci, Dept Plateau Atmospher Phys, Cold &amp; Arid Reg Environm &amp; Engn Res Inst, Lanzhou 730000, Peoples R China; Chinese Acad Sci, Inst Atmospher Phys, Lab Middle Atmosphere &amp; Global Environm Observ, LAGEO, Beijing 100029, Peoples R China</t>
  </si>
  <si>
    <t>University of Birmingham; Chinese Academy of Sciences; Cold &amp; Arid Regions Environmental &amp; Engineering Research Institute, CAS; Chinese Academy of Sciences; Institute of Atmospheric Physics, CAS</t>
  </si>
  <si>
    <t>Yu, Y (corresponding author), Univ Birmingham, Sch Geog Earth &amp; Environm Sci, Birmingham B15 2TT, W Midlands, England.</t>
  </si>
  <si>
    <t>yy@1zb.ac.cn</t>
  </si>
  <si>
    <t>Qie, Xiushu/F-7006-2011; Cai, Xiaoming/M-8248-2015</t>
  </si>
  <si>
    <t>Qie, Xiushu/0000-0003-2956-3790; Cai, Xiaoming/0000-0002-5934-9800</t>
  </si>
  <si>
    <t>SEP</t>
  </si>
  <si>
    <t>10.1007/s00376-007-0819-x</t>
  </si>
  <si>
    <t>212BR</t>
  </si>
  <si>
    <t>WOS:000249569100007</t>
  </si>
  <si>
    <t>van den Broeke, M</t>
  </si>
  <si>
    <t>van den Broeke, Michiel</t>
  </si>
  <si>
    <t>Antarctica and the IPCC</t>
  </si>
  <si>
    <t>Van den Broeke, Michiel R./0000-0003-4662-7565</t>
  </si>
  <si>
    <t>10.1017/S0954102007000636</t>
  </si>
  <si>
    <t>219EX</t>
  </si>
  <si>
    <t>WOS:000250068600001</t>
  </si>
  <si>
    <t>Ainley, D; Ballard, G; Ackley, S; Blight, LK; Eastman, JT; Emslie, SD; Lescroel, A; Olmastron, S; Townsend, SE; Tynan, CT; Wilson, P; Woehler, E</t>
  </si>
  <si>
    <t>Ainley, David; Ballard, Grant; Ackley, Steve; Blight, Louise K.; Eastman, Joseph T.; Emslie, Steven D.; Lescroel, Amelie; Olmastroni, Silvia; Townsend, Susan E.; Tynan, Cynthia T.; Wilson, Peter; Woehler, Eric</t>
  </si>
  <si>
    <t>Paradigm lost, or is top-down forcing no longer significant in the Antarctic marine ecosystem?</t>
  </si>
  <si>
    <t>cetaceans; climate change; fishery depletion; krill; penguins; prey depletion; salps; Southern Ocean</t>
  </si>
  <si>
    <t>SEA-ICE EXTENT; SOUTH SHETLAND ISLANDS; WHALES ORCINUS-ORCA; PENGUIN POPULATIONS; JELLYFISH BLOOMS; NOTOTHENIID FISH; PACIFIC SECTOR; CLIMATE-CHANGE; ROSS SEA; OCEAN</t>
  </si>
  <si>
    <t>Investigations in recent years of the ecological structure and processes of the Southern Ocean have almost exclusively taken a bottom-up, forcing-by-physical-processes approach relating various species' population trends to climate change. Just 20 years ago, however, researchers focused on a broader set of hypotheses, in part formed around a paradigm positing interspecific interactions as central to structuring the ecosystem (forcing by biotic processes, top-down), and particularly on a krill surplus caused by the removal from the system of more than a million baleen whales. Since then, this latter idea has disappeared from favour with little debate. Moreover, it recently has been shown that concurrent with whaling there was a massive depletion of finfish in the Southern Ocean, a finding also ignored in deference to climate-related explanations of ecosystem change. We present two examples from the literature, one involving gelatinous organisms and the other involving penguins, in which climate has been used to explain species' population trends but which could better be explained by including species interactions in the modelling. We conclude by questioning the almost complete shift in paradigms that has occurred and discuss whether it is leading Southern Ocean marine ecological science in an instructive direction.</t>
  </si>
  <si>
    <t>HT Harvey &amp; Associates, San Jose, CA USA; Univ Auckland, Sch Biol Sci, Auckland 1, New Zealand; PRBO Conservat Sci, Bolinas, CA 94924 USA; Clarkson Univ, Potsdam, NY 13699 USA; Univ British Columbia, Aquat Ecosyst Res Lab, Vancouver, BC V6T 1Z4, Canada; Ohio Univ, Athens, OH 45701 USA; Univ N Carolina, Wilmington, NC 28403 USA; Univ Siena, Dipartimento Sci Ambientali, I-53100 Siena, Italy; Univ Tasmania, Sch Zool, Hobart, Tas 7000, Australia</t>
  </si>
  <si>
    <t>University of Auckland; Clarkson University; University of British Columbia; University System of Ohio; Ohio University; University of North Carolina; University of North Carolina Wilmington; University of Siena; University of Tasmania</t>
  </si>
  <si>
    <t>Ainley, D (corresponding author), HT Harvey &amp; Associates, 3150 Almaden Expressway, San Jose, CA USA.</t>
  </si>
  <si>
    <t>dainley@penguinscience.com</t>
  </si>
  <si>
    <t>Eastman, Joseph T/A-9786-2008; Eastman, Joseph T./O-6150-2019; OLMASTRONI, Silvia/G-6267-2018</t>
  </si>
  <si>
    <t>Eastman, Joseph T./0000-0003-3868-261X; OLMASTRONI, Silvia/0000-0002-9319-9914; Woehler, Eric/0000-0002-1125-0748</t>
  </si>
  <si>
    <t>10.1017/S095410200700051X</t>
  </si>
  <si>
    <t>WOS:000250068600002</t>
  </si>
  <si>
    <t>Nicol, S; Croxall, J; Trathan, P; Gales, N; Murphy, E</t>
  </si>
  <si>
    <t>Nicol, Stephen; Croxall, John; Trathan, Phil; Gales, Nick; Murphy, Eugene</t>
  </si>
  <si>
    <t>Paradigm misplaced? Antarctic marine ecosystems are affected by climate change as well as biological processes and harvesting</t>
  </si>
  <si>
    <t>climate change; ecosystem processes; Southern Ocean</t>
  </si>
  <si>
    <t>SEA-ICE EXTENT; SOUTHERN-OCEAN; FOOD-WEB; PENGUIN POPULATIONS; EUPHAUSIA-SUPERBA; EAST ANTARCTICA; KRILL; DYNAMICS; DECLINE; VARIABILITY</t>
  </si>
  <si>
    <t>A recent review by Ainley et al. has suggested that recent investigations of the ecological structure and processes of the Southern Ocean have almost exclusively taken a bottom-up, forcing-by-physical-processes approach relating individual species' population trends to climate change. We examine this suggestion and conclude that, in fact, there has been considerable research effort into ecosystem interactions over the last 25 years, particularly through research associated with management of the living resources of the Southern Ocean. Future Southern Ocean research will make progress only when integrated studies are planned around well structured hypotheses that incorporate both the physical and biological drivers of ecosystem processes.</t>
  </si>
  <si>
    <t>Australian Antarctic Div, Dept Environm &amp; Heritage, Kingston, Tas 7050, Australia; British Antarctic Survey, NERC, BioSci Div, Cambridge CB3 0ET, England</t>
  </si>
  <si>
    <t>Australian Antarctic Division; UK Research &amp; Innovation (UKRI); Natural Environment Research Council (NERC); NERC British Antarctic Survey</t>
  </si>
  <si>
    <t>Nicol, S (corresponding author), Australian Antarctic Div, Dept Environm &amp; Heritage, Channel Highway, Kingston, Tas 7050, Australia.</t>
  </si>
  <si>
    <t>steve.nicol@aad.gov.au</t>
  </si>
  <si>
    <t>10.1017/S0954102007000491</t>
  </si>
  <si>
    <t>WOS:000250068600003</t>
  </si>
  <si>
    <t>Casadio, S; Parras, A; Griffin, M; Marenssi, S</t>
  </si>
  <si>
    <t>Casadio, Silvio; Parras, Ana; Griffin, Miguel; Marenssi, Sergio</t>
  </si>
  <si>
    <t>Borers and encrusters as indicators of the presence of hermit crabs in Antarctic Eocene gastropods shells</t>
  </si>
  <si>
    <t>hermitted shells; La Meseta Formation; paguridea; seymour island; taphonomy</t>
  </si>
  <si>
    <t>LA MESETA FORMATION; SEYMOUR-ISLAND; BRYOZOANS; ECOLOGY; ANOMURA; TUBE; PALEOECOLOGY; ASSOCIATIONS; COMMUNITIES; RECRUITMENT</t>
  </si>
  <si>
    <t>The community of encrusting and boring organisms developed on shells of the gastropod Antarctodarwinella ellioti from the lower section of the La Meseta Formation (Eocene) exposed on Seymour (Marambio) Island, Antarctic Peninsula, allows inference that the shells were inhabited by hermit crabs. A Chi-square Independence Test revealed that the community - dominated by polychaetes and bryozoans - shows preference for the aperture interior area of the shell. A subsequent Cochran Q Test indicated that the differences in frequency of encrusting and boring organisms as counted on the different interior sectors of the aperture were statistically significant. Thus, polychaetes, boring bryozoans, and encrusting bryozoans, do not show the same frequency in each interior sector of the aperture; they are more frequent on the columella (P &lt; 0.0001, P &lt; 0.01 and P &lt; 0.001 respectively). Encrusting bryozoans also appear to show a preference - albeit not as high as on the columella - for the outer lip. This community of boring and encrusting organisms and their distribution on the shell confirms that the shells were inhabited by hermit crabs. The community is similar to that described in Recent hermitted shells from mid-latitude temperate water environments, suggesting that such communities were already established in the Eocene.</t>
  </si>
  <si>
    <t>UNLPam, Fac Ciencias Exactas &amp; Nat, RA-6300 Santa Rosa, La Pampa, Argentina; Consejo Nacl Invest Cient &amp; Tecn, RA-6300 Santa Rosa, La Pampa, Argentina; Inst Antart Argentino, RA-1010 Buenos Aires, DF, Argentina; Univ Buenos Aires, RA-1053 Buenos Aires, DF, Argentina; Consejo Nacl Invest Cient &amp; Tecn, RA-1033 Buenos Aires, DF, Argentina</t>
  </si>
  <si>
    <t>Consejo Nacional de Investigaciones Cientificas y Tecnicas (CONICET); Instituto Antartico Argentino; University of Buenos Aires; Consejo Nacional de Investigaciones Cientificas y Tecnicas (CONICET)</t>
  </si>
  <si>
    <t>Casadio, S (corresponding author), UNLPam, Fac Ciencias Exactas &amp; Nat, Uruguay 151, RA-6300 Santa Rosa, La Pampa, Argentina.</t>
  </si>
  <si>
    <t>scasadio@cpenet.com.ar</t>
  </si>
  <si>
    <t>10.1017/S0954102007000533</t>
  </si>
  <si>
    <t>WOS:000250068600004</t>
  </si>
  <si>
    <t>Webster-Brown, JG; Webster, KS</t>
  </si>
  <si>
    <t>Webster-Brown, J. G.; Webster, K. S.</t>
  </si>
  <si>
    <t>Trace metals in cyanobacterial mats, phytoplankton and sediments of the Lake Vanda region, Antarctica</t>
  </si>
  <si>
    <t>adsorption; Onyx River; suspended particulate material (SPM); Wright Valley</t>
  </si>
  <si>
    <t>MICROBIAL MAT; BEHAVIOR</t>
  </si>
  <si>
    <t>The degree and nature of association between trace metals (Cu, Pb, Zn, Ni, Ag, &amp; Cd) and cyanobacterial mats, phytoplankton and sediments has been assessed in the Lake Vanda region of the Wright Valley, Victoria Land. Trace metal:Fe ratios and SEM imaging confirmed that apparent trace metal enrichment in cyanobacterial mats, relative to the sediment beneath, was due to incorporation of fine (sub-micron) sediment particles in the muciligenous matrix of the mat. In suspended particulate material (SPM) filtered from the oxic water of Lake Vanda and the Onyx River, the degree of trace metal binding to the SPM did not appear to correlate with phytoplankton content. Instead a positive correlation was observed between Fe and trace metal content. The SPM at the top of the lake water column, where only the finest sediment remains suspended, had the highest trace metal concentrations. It is concluded that the trace metal content of cyanobacterial mats and phytoplankton samples is primarily due to incorporation of fine sediment particles of high surface area which therefore enhance trace metal adsorption capacity. This reinforces the existing hypothesis that trace metal solubility in this environment is primarily controlled by abiotic processes.</t>
  </si>
  <si>
    <t>Univ Auckland, Dept Chem, Auckland, New Zealand; NIWA, Auckland, New Zealand</t>
  </si>
  <si>
    <t>University of Auckland; National Institute of Water &amp; Atmospheric Research (NIWA) - New Zealand</t>
  </si>
  <si>
    <t>Webster-Brown, JG (corresponding author), Univ Auckland, Dept Chem, Private Bag 92019, Auckland, New Zealand.</t>
  </si>
  <si>
    <t>j.webster@auckland.ac.nz</t>
  </si>
  <si>
    <t>Webster-Brown, Jenny/0000-0001-9665-871X</t>
  </si>
  <si>
    <t>10.1017/S0954102007000417</t>
  </si>
  <si>
    <t>WOS:000250068600005</t>
  </si>
  <si>
    <t>Primo, C; Váquez, E</t>
  </si>
  <si>
    <t>Primo, Carmen; Vazquez, Elsa</t>
  </si>
  <si>
    <t>Zoogeography of the Antarctic ascidian fauna in relation to the sub-Antarctic and South America</t>
  </si>
  <si>
    <t>Ascidiacea; biogeographical components; cluster analysis; Southern Ocean</t>
  </si>
  <si>
    <t>OCEAN; BIOGEOGRAPHY; BIODIVERSITY; CRUSTACEA; ORIGIN; CHILE</t>
  </si>
  <si>
    <t>This study of the relationships between the Antarctic, sub-Antarctic and South America biogeographical regions used both existing and new data. We constructed a presence/absence matrix of 237 species for 27 biogeographical divisions which included the Amsterdam-Saint Paul and Tristan da Cunha islands. Species and areas were classified using cluster analysis combined with MDS ordination. Six main groups were obtained from the species classification: 1) Amsterdam-Saint Paul, and 2) Tristan da Cunha species, 3) species from the Macquarie Province, 4) species from the sub-Antarctic Region, 5) Antarctic species and species distributed in the cold regions, 6) South American species. The biogeographical components were dominated by the endemic (although it is not as high as in other groups), Antarctic-South America and Southern Hemisphere elements. Except for Amsterdam-Saint Paul, Tristan da Cunha and Bouvet, the areas considered were grouped together with Macquarie being rather related to New Zealand regions. We speculate that the Antarctic Region may have acted as an evolutionary incubator, providing a centre of origin for sub-Antarctic and South American ascidians.</t>
  </si>
  <si>
    <t>Univ Vigo, Fac Ciencias Mar, Dept Ecol &amp; Biol Anim, Vigo 36310, Spain</t>
  </si>
  <si>
    <t>Universidade de Vigo</t>
  </si>
  <si>
    <t>Primo, C (corresponding author), Univ Vigo, Fac Ciencias Mar, Dept Ecol &amp; Biol Anim, Vigo 36310, Spain.</t>
  </si>
  <si>
    <t>carprimo@uvigo.es</t>
  </si>
  <si>
    <t>; Primo, Carmen/F-5431-2015</t>
  </si>
  <si>
    <t>Vazquez, Elsa/0000-0003-0782-4734; Primo, Carmen/0000-0001-8619-1036</t>
  </si>
  <si>
    <t>10.1017/S0954102007000521</t>
  </si>
  <si>
    <t>WOS:000250068600006</t>
  </si>
  <si>
    <t>Seiler, J; Gutt, J</t>
  </si>
  <si>
    <t>Seiler, Jan; Gutt, Julian</t>
  </si>
  <si>
    <t>Can dead sponges still talk?</t>
  </si>
  <si>
    <t>COMMUNITIES; DIVERSITY</t>
  </si>
  <si>
    <t>Univ Wales, Sch Ocean Sci, Menai Bridge LL59 5AB, Gwynedd, Wales; Alfred Wegener Inst Polar &amp; Marine Res, D-27568 Bremerhaven, Germany</t>
  </si>
  <si>
    <t>Seiler, J (corresponding author), Univ Wales, Sch Ocean Sci, Menai Bridge LL59 5AB, Gwynedd, Wales.</t>
  </si>
  <si>
    <t>osu024@bangor.ac.uk</t>
  </si>
  <si>
    <t>Gutt, Julian/0000-0003-3773-9370</t>
  </si>
  <si>
    <t>10.1017/S095410200700048X</t>
  </si>
  <si>
    <t>WOS:000250068600007</t>
  </si>
  <si>
    <t>Wilson, CJL; Quinn, C; Tong, L; Phillips, D</t>
  </si>
  <si>
    <t>Wilson, Christopher J. L.; Quinn, Cameron; Tong, Laixi; Phillips, David</t>
  </si>
  <si>
    <t>Early Palaeozoic intracratonic shears and post-tectonic cooling in the Rauer Group, Prydz Bay, East Antarctica constrained by 40Ar/39Ar thermochronology</t>
  </si>
  <si>
    <t>Ar/Ar dating; early Palaeozoic; East Antarctica; intracratonic shear zones; metamorphism; Rauer Group</t>
  </si>
  <si>
    <t>PRINCE-CHARLES MOUNTAINS; LARSEMANN HILLS; MONAZITE; PB; GEOCHRONOLOGY; GRANULITE; EVOLUTION; METAMORPHISM; DEFORMATION; GONDWANA</t>
  </si>
  <si>
    <t>The Rauer Group, in Prydz Bay, contains reworked Archaean-Proterozoic crust in high-strain zones that formed during a pervasive high-temperature ductile deformation event related to intracratonic mechanisms. The effects of this event extend southwards from Prydz Bay into the southern Prince Charles Mountains. The associated structural evolution involved development of ductile and brittle structures that formed during an approximately north-south directed transpressional deformation event that is confined to high-grade (&gt; 800 degrees C) shear zones in the Rauer Group. Minerals from the Rauer Group, yield 40Ar/39Ar cooling ages ranging from 560 to 460 Ma. Thermal histories derived from hornblende, biotite and feldspar suggest that the onset of rapid cooling began sometime prior to 5 10 Ma with cooling rates of c. 42 to 33 degrees C myr(-1) from c. 510 Ma to c. 500 Ma. Whereas, 40Ar/39Ar data obtained from plagioclase and K-feldspar suggest a slower cooling from c. 500 Ma to c. 460 Ma with cooling rates from 5 to 2 degrees C myr(-1). These results demonstrate that the early Palaeozoic cooling history and comparable palaeostress regimes are regionally extensive, which has important implications for the tectonothermal and stress-field variability across Gondwana. The elevated thermal conditions would induce lithospheric weakening and promote the early Palaeozoic intraplate orogeny observed in eastern Antarctica with the development of a large intracratonic shear system.</t>
  </si>
  <si>
    <t>Wilson, CJL (corresponding author), Univ Melbourne, Sch Earth Sci, Melbourne, Vic 3010, Australia.</t>
  </si>
  <si>
    <t>cjlw@unimelb.edu.au</t>
  </si>
  <si>
    <t>Phillips, David/0000-0001-7256-6730</t>
  </si>
  <si>
    <t>10.1017/S0954102007000478</t>
  </si>
  <si>
    <t>WOS:000250068600008</t>
  </si>
  <si>
    <t>Curry, P; Pudsey, CJ</t>
  </si>
  <si>
    <t>Curry, Philip; Pudsey, Carol J.</t>
  </si>
  <si>
    <t>New Quaternary sedimentary records from near the Larsen C and former Larsen B ice shelves; evidence for Holocene stability</t>
  </si>
  <si>
    <t>basal erosion; basal freezing; Holocene retreat; ice shelf collapse; meltwater</t>
  </si>
  <si>
    <t>ANTARCTIC PENINSULA; GLACIAL HISTORY; RETREAT; DISINTEGRATION; BENEATH; FACIES; SHEET; CORE</t>
  </si>
  <si>
    <t>Glacial and post-glacial shelf sedimentation near the Larsen C and former Larsen B ice shelves is compared to records from ice shelves farther north, which underwent mid-Holocene retreat. A core from Larsen C comprises a lower unit of deformation till, overlain by thick mud interpreted as water lain from suspension under the ice shelf. Iceberg-rafted debris occurs only in the top 50 cm, suggesting that prior to that layer's deposition, the ice shelf had not receded past the site since the last deglaciation. Subsequently the site appears to have been seasonally ice free, and the ice shelf has retreated further and is now 15 km landward of the site. A core from Larsen B also consists of a lower unit, interpreted as sub-glacial lodgement till. The overlying mud is thinner, more poorly sorted, with evidence of powerful winnowing of sediments suggesting strong currents. The absence of iceberg-rafted debris implies that this site was covered by an ice shelf continuously from the last deglaciation until its collapse in 2002. Strong currents could have facilitated basal erosion, contributing to its collapse. The Larsen C shelf is also thinning and historical records show retreat in the last hundred years. With continued rising temperatures, Larsen C may eventually retreat to a point at which it collapses.</t>
  </si>
  <si>
    <t>Univ Cambridge, Dept Geog, Cambridge CB2 3EN, England; British Antarctic Survey, NERC, Cambridge CB3 0ET, England</t>
  </si>
  <si>
    <t>University of Cambridge; UK Research &amp; Innovation (UKRI); Natural Environment Research Council (NERC); NERC British Antarctic Survey</t>
  </si>
  <si>
    <t>Curry, P (corresponding author), Univ Cambridge, Dept Geog, Downing Pl, Cambridge CB2 3EN, England.</t>
  </si>
  <si>
    <t>philipxcurry@yahoo.co.uk</t>
  </si>
  <si>
    <t>10.1017/S0954102007000442</t>
  </si>
  <si>
    <t>WOS:000250068600009</t>
  </si>
  <si>
    <t>Goodwin, ID; Hellstrom, J</t>
  </si>
  <si>
    <t>Goodwin, Ian D.; Hellstrom, John</t>
  </si>
  <si>
    <t>Glacio-lacustrine aragonite deposition, meltwater evolution and glacial history during isotope stage 3 at Radok lake, Amery oasis, northern Prince Charles Mountains, East Antarctica</t>
  </si>
  <si>
    <t>carbonate; glacial meltwater; lacustrine; Lambert Glacier grounding; oxygen isotope</t>
  </si>
  <si>
    <t>ICE CORE; CHRONOLOGY; CLIMATE; RECORD</t>
  </si>
  <si>
    <t>The late Quaternary glacial history of the Amery Oasis, and Prince Charles Mountains is of significant interest because about 10% of the total modem Antarctic ice outflow is discharged via the adjacent Lambert Glacier system. A glacial thrust moraine sequence deposited along the northern shoreline of Radok Lake between 20- 10 ka BP, overlies a layer of thin, aragonite crusts which provide important constraints on the glacial history of the Amery Oasis. The modem Radok Lake is fed by the terminal meltwaters of the alpine Battye Glacier. The aragonite crusts were deposited in shallow water of ancestral Radok Lake 53 ka Bp, during the A3 warm event in Isotope Stage 3. Oxygen isotope (delta(18)O) analysis of the last glacial-age aragonite crusts indicates that they precipitated from freshwater with a delta(18)O(SMOW) composition of -36%, which is 8% more depleted than the present water (-28%) in Radok Lake. A regional oxygen isotope (00) and elevation relationship for snow is used to determine the source of meltwater and glacial ice in Radok Lake during the A3 warm event. This relationship indicates that Radok Lake received meltwater from the confluence of both Battye Glacier ice and an expansion of grounded western Lambert Glacier ice in the Amery embayment.</t>
  </si>
  <si>
    <t>Univ Newcastle, Sch Environm &amp; Life Sci, Environm &amp; Climate Change Res Grp, Newcastle, NSW 2308, Australia; Univ Melbourne, Sch Earth Sci, Parkville, Vic 3010, Australia</t>
  </si>
  <si>
    <t>University of Newcastle; University of Melbourne</t>
  </si>
  <si>
    <t>Goodwin, ID (corresponding author), Univ Newcastle, Sch Environm &amp; Life Sci, Environm &amp; Climate Change Res Grp, Newcastle, NSW 2308, Australia.</t>
  </si>
  <si>
    <t>Ian.Goodwin@newcastle.edu.au</t>
  </si>
  <si>
    <t>Hellstrom, John C/B-1770-2008</t>
  </si>
  <si>
    <t>Hellstrom, John/0000-0001-9427-3525; Goodwin, Ian/0000-0001-8682-6409</t>
  </si>
  <si>
    <t>10.1017/S0954102007000466</t>
  </si>
  <si>
    <t>WOS:000250068600010</t>
  </si>
  <si>
    <t>Finocchiaro, F; Baron, C; Colizza, E; Ivaldi, R</t>
  </si>
  <si>
    <t>Finocchiaro, Furio; Baroni, Carlo; Colizza, Ester; Ivaldi, Roberta</t>
  </si>
  <si>
    <t>Pre-LGM open-water conditions south of the Drygalski Ice Tongue, Ross Sea, Antarctica</t>
  </si>
  <si>
    <t>palaeoenvironment; radiocarbon dates; Victoria Land</t>
  </si>
  <si>
    <t>VICTORIA LAND; CONTINENTAL-SHELF; HOLOCENE; LEVEL; RADIOCARBON; SEDIMENTS; RETREAT; HISTORY; CORE; BAY</t>
  </si>
  <si>
    <t>A marine sediment core collected from the Nordenskjold Basin, to the south of the Drygalski Ice Tongue, provides new sedimentological and chronological data for reconstructing the Pleistocene glacial history and palaeoenvironmental evolution of Victoria Land. The core consists of an over consolidated biogenic mud covered with glacial diamicton; Holocene diatomaceous mud lies on top of the sequence. Radiocarbon dates of the acid insoluble organic matter indicate a pre-Last Glacial Maximum age (&gt; 24kyr) for the biogenic mud at the base of the sequence. From this we can presume that at least this portion of the western Ross Sea was deglaciated during Marine Isotope Stage 3 and enjoyed open marine conditions. Our results are consistent with recent findings of pre-Holocene raised beaches at Cape Ross and in the Terra Nova Bay area.</t>
  </si>
  <si>
    <t>Univ Trieste, Dip Sc Geol Ambientale &amp; Marine, Trieste, Italy; Univ Pisa, Dipartimento Sci Terra, Pisa, Italy; CNR, Ist Geosci &amp; Georisorse, I-56100 Pisa, Italy; Univ Genoa, DIPTERIS, Genoa, Italy</t>
  </si>
  <si>
    <t>University of Trieste; University of Pisa; Consiglio Nazionale delle Ricerche (CNR); Istituto di Geoscienze e Georisorse (IGG-CNR); University of Genoa</t>
  </si>
  <si>
    <t>Finocchiaro, F (corresponding author), Univ Trieste, Dip Sc Geol Ambientale &amp; Marine, Trieste, Italy.</t>
  </si>
  <si>
    <t>finofu@univ.trieste.it</t>
  </si>
  <si>
    <t>Baroni, Carlo/D-8184-2012</t>
  </si>
  <si>
    <t>Baroni, Carlo/0000-0001-5905-4650; FINOCCHIARO, Furio/0000-0002-6478-6052; Colizza, Ester/0000-0002-9026-6667</t>
  </si>
  <si>
    <t>10.1017/S0954102007000430</t>
  </si>
  <si>
    <t>WOS:000250068600011</t>
  </si>
  <si>
    <t>Chaparro, MAE; Nunez, H; Lirio, JM; Gogorza, CSG; Sinito, AM</t>
  </si>
  <si>
    <t>Chaparro, Marcos A. E.; Nunez, Hector; Lirio, Juan M.; Gogorza, Claudia S. G.; Sinito, Ana M.</t>
  </si>
  <si>
    <t>Magnetic screening and heavy metal pollution studies in soils from Marambio Station, Antarctica</t>
  </si>
  <si>
    <t>contamination assessment; magnetic mapping; magnetic parameters; magnetite; pollutants; Seymour Island</t>
  </si>
  <si>
    <t>BENTHIC MARINE POLLUTION; STREAM SEDIMENTS; INDUSTRIAL-POLLUTION; MCMURDO-STATION; SUSCEPTIBILITY; CONTAMINATION; PARAMETERS; FIELD; SOUND; AREA</t>
  </si>
  <si>
    <t>Magnetic screening as a cost-effective and non-time-consuming approach has been successfully carried out in Marambio soils and seems to be a suitable method for contamination assessment in Antarctic areas. Ferromagnetic minerals are found in most samples, and magnetite-like carriers are especially dominant in samples collected near pollution sources. Lead and zinc are the main trace elements that have adversely impacted on some areas in this station, both are end products from different pollution sources derived from fuel combustion and residues, solid waste, paints, etc. The correlation results between magnetic and chemical variables show moderate relationships varying from 0.409 to 0.663; this fact supports the use of magnetic parameters, such as magnetic susceptibility and bivariate ratios, for pollution monitoring. The magnetic properties, heavy metal contents, and related maps of these soils can be considered as a reference in the area for future temporal and/or spatial work.</t>
  </si>
  <si>
    <t>Univ Nacl Ctr Prov Buenos Aires, CONICET, Tandil, Argentina; Univ Nacl Ctr Prov Buenos Aires, IFAS, Tandil, Argentina; IAA, RA-1010 Buenos Aires, DF, Argentina</t>
  </si>
  <si>
    <t>Comision Nacional de Energia Atomica (CNEA); Comision Nacional de Energia Atomica (CNEA)</t>
  </si>
  <si>
    <t>Chaparro, MAE (corresponding author), Univ Nacl Ctr Prov Buenos Aires, CONICET, Pinto 399,B7000GHG, Tandil, Argentina.</t>
  </si>
  <si>
    <t>chapator@exa.unicen.edu.ar</t>
  </si>
  <si>
    <t>Chaparro, Marcos A.E./O-9042-2019</t>
  </si>
  <si>
    <t>Chaparro, Marcos A.E./0000-0003-2832-2151; Gogorza, Claudia/0000-0003-2982-1761</t>
  </si>
  <si>
    <t>10.1017/S0954102007000454</t>
  </si>
  <si>
    <t>WOS:000250068600012</t>
  </si>
  <si>
    <t>Sandrini, S; Ait-Ameur, N; Rivaro, P; Massolo, S; Touratier, F; Tositti, L; Goyet, C</t>
  </si>
  <si>
    <t>Sandrini, S.; Ait-Ameur, N.; Rivaro, P.; Massolo, S.; Touratier, F.; Tositti, L.; Goyet, C.</t>
  </si>
  <si>
    <t>Anthropogenic carbon distribution in the Ross Sea, Antarctica</t>
  </si>
  <si>
    <t>atmospheric CO2 sequestration; chemical tracers; mixing; TCO2; water mass</t>
  </si>
  <si>
    <t>NET COMMUNITY PRODUCTION; BOTTOM WATER; INDIAN-OCEAN; TOTAL ALKALINITY; WEDDELL SEA; CO2; ATLANTIC; INCREASE; CIRCULATION; EXCHANGE</t>
  </si>
  <si>
    <t>The Ross Sea is an area of dense water formation within the Southern Ocean, hence it potentially plays an important role for anthropogenic CO2 Sequestration. In order to estimate the penetration of anthropogenic carbon in the Ross Sea from total inorganic carbon (TCO2) measurements carried out in 2002-03 Antarctic Italian Expedition, we applied two independent models. Anthropogenic carbon was present throughout the water column. The highest concentrations were associated with the recently ventilated shelf waters, namely High Salinity Shelf Water (HSSW) and Ice Shelf Water (ISW), due to their recent contact with the atmosphere. The lowest concentrations were observed for Circumpolar Deep Water (CDW), due to its relatively older ventilation age. This water mass intrudes onto the shelf in some parts of the Ross Sea and hence is observed in the sampled section, where it is recognizable for its low 02 and high TCO2 concentrations. The overflow of the dense High Salinity Shelf Water out of the continental slope was observed in the area off Cape Adare. Since this recently formed shelf water contributes to the fort-nation of the Antarctic Bottom Water (AABW), this process represents a pathway for anthropogenic carbon export down to the deep ocean.</t>
  </si>
  <si>
    <t>Univ Bologna, Dept Chem G Ciamician, I-40126 Bologna, Italy; Univ Perpignan, LBDSI, F-66025 Perpignan, France; Univ Genoa, Dept Chem &amp; Ind Chem, I-16146 Genoa, Italy</t>
  </si>
  <si>
    <t>University of Bologna; Universite Perpignan Via Domitia; University of Genoa</t>
  </si>
  <si>
    <t>Sandrini, S (corresponding author), Univ Bologna, Dept Chem G Ciamician, Via Selmi 2, I-40126 Bologna, Italy.</t>
  </si>
  <si>
    <t>silvia.sandrini@unibo.it</t>
  </si>
  <si>
    <t>Rivaro, Paola/I-8305-2012; Tositti, Laura/L-3562-2016; sandrini, silvia/K-5140-2012</t>
  </si>
  <si>
    <t>Tositti, Laura/0000-0002-1778-672X; sandrini, silvia/0000-0002-3346-6531</t>
  </si>
  <si>
    <t>10.1017/S0954102007000405</t>
  </si>
  <si>
    <t>WOS:000250068600013</t>
  </si>
  <si>
    <t>Piulachs, JC</t>
  </si>
  <si>
    <t>Castelivi Piulachs, Josefina</t>
  </si>
  <si>
    <t>How Spain opened its channel for Antarctic research</t>
  </si>
  <si>
    <t>ARBOR-CIENCIA PENSAMIENTO Y CULTURA</t>
  </si>
  <si>
    <t>Antarctic research; Livingston Island; Spanish Antarctic Base; Antarctida</t>
  </si>
  <si>
    <t>Antarctica and its surrounding seas have a particular interest for scientists because they treasure up lots of information on the planet's post and the evolution of its species. Isolation is the main cause of ignorance on Antarctica since only as recently as in the middle of last century began the truly scientific expeditions there. In the eighties a special attention arouse in the Spanish research community towards this continent. This phenomenon added to the political incentive of becoming a member of the Washington Treaty caused the installation of a base and the launching of an oceanographic ship. Since 1987 yearly expeditions are sent there with an average of 140 scientists who carry out research both on board the ship Hesperides and in the two settlements, King Juan Carlos I and Admiral Gabriel de Castillo.</t>
  </si>
  <si>
    <t>CSIC, Inst Ciencias Mar, Barcelona, Spain</t>
  </si>
  <si>
    <t>Consejo Superior de Investigaciones Cientificas (CSIC); CSIC - Centro Mediterraneo de Investigaciones Marinas y Ambientales (CMIMA); CSIC - Instituto de Ciencias del Mar (ICM)</t>
  </si>
  <si>
    <t>Piulachs, JC (corresponding author), CSIC, Inst Ciencias Mar, Barcelona, Spain.</t>
  </si>
  <si>
    <t>LIBRERIA CIENTIFICA MEDINACELI</t>
  </si>
  <si>
    <t>DUQUE DE MEDINACELI 4, 14 MADRID, SPAIN</t>
  </si>
  <si>
    <t>0210-1963</t>
  </si>
  <si>
    <t>ARBOR</t>
  </si>
  <si>
    <t>Arbor-Cienc. Pensam. Cult.</t>
  </si>
  <si>
    <t>SEP-OCT</t>
  </si>
  <si>
    <t>224BQ</t>
  </si>
  <si>
    <t>WOS:000250420900009</t>
  </si>
  <si>
    <t>Petkaki, P.; MacKinnon, A. L.</t>
  </si>
  <si>
    <t>Particle acceleration by fluctuating electric fields at a magnetic field null point</t>
  </si>
  <si>
    <t>acceleration of particles; waves; sun : flares; sun : X-rays; gamma rays</t>
  </si>
  <si>
    <t>RECONNECTING CURRENT SHEETS; IMPULSIVE SOLAR-FLARES; X-RAY-EMISSION; NEUTRAL POINT; PROTON ACCELERATION; NOISE STORMS; ALFVEN WAVES; DYNAMICS; PLASMAS; CONFIGURATIONS</t>
  </si>
  <si>
    <t>Context. Particle acceleration consequences from fluctuating electric fields superposed on an X- type magnetic field in collisionless solar plasma are studied. Such a system is chosen to mimic generic features of dynamic reconnection, or the reconnective dissipation of a linear disturbance. Aims. We explore numerically the consequences for charged particle distributions of fluctuating electric fields superposed on an X- type magnetic field. Methods. Particle distributions are obtained by numerically integrating individual charged particle orbits when a time varying electric field is superimposed on a static X- type neutral point. This configuration represents the effects of the passage of a generic MHD disturbance through such a system. Different frequencies of the electric field are used, representing different possible types of wave. The electric field reduces with increasing distance from the X- type neutral point as in linear dynamic magnetic reconnection. Results. The resulting particle distributions have properties that depend on the amplitude and frequency of the electric field. In many cases a bimodal form is found. Depending on the timescale for variation of the electric field, electrons and ions may be accelerated to different degrees and often have energy distributions of di. fferent forms. Protons are accelerated to gamma- ray producing energies and electrons to and above hard X- ray producing energies in timescales of 1 s. The acceleration mechanism is possibly important for solar flares and solar noise storms but is also applicable to all collisionless plasmas.</t>
  </si>
  <si>
    <t>British Antarctic Survey, Div Phys Sci, Cambridge CB3 0ET, England; Univ Glasgow, DACE Phys &amp; Astron, Glasgow G12 8QQ, Lanark, Scotland</t>
  </si>
  <si>
    <t>ppe@bas.ac.uk</t>
  </si>
  <si>
    <t>10.1051/0004-6361:20066961</t>
  </si>
  <si>
    <t>214SN</t>
  </si>
  <si>
    <t>Bronze, Green Accepted, Green Submitted</t>
  </si>
  <si>
    <t>WOS:000249758500034</t>
  </si>
  <si>
    <t>Becker, JK; Grob, A; Münich, K; Dreyer, J; Rhode, W; Biermann, PL</t>
  </si>
  <si>
    <t>Becker, Julia K.; GroB, Andreas; Muenich, Kirsten; Dreyer, Jens; Rhode, Wolfgang; Biermann, Peter L.</t>
  </si>
  <si>
    <t>Astrophysical implications of high energy neutrino limits</t>
  </si>
  <si>
    <t>ASTROPARTICLE PHYSICS</t>
  </si>
  <si>
    <t>AGN; neutrinos; stacking; diffuse spectra; limits; olbers paradox</t>
  </si>
  <si>
    <t>JET-DISK SYMBIOSIS; LUMINOSITY FUNCTION; RADIO-GALAXIES; GAMMA-RAYS; A-ASTERISK; EVOLUTION; EMISSION; SPECTRUM; QUASARS; SAMPLE</t>
  </si>
  <si>
    <t>Second generation high energy neutrino telescopes are being built to reach sensitivities of neutrino emission from galactic and extragalactic sources. Current neutrino detectors are already able to set limits which are in the range of some emission models. In particular, the Antarctic Muon and Neutrino Detection Array (AMANDA) has recently presented the so-far most restrictive limit on diffuse neutrino emission [A. Achterberg et al., Phys. Rev. D, submitted for publication, astro-ph/0705.1315.]. Stacking limits which apply to AGN point source classes rather than to single point sources [A. Achterberg, et al., IceCube Collaboration and P.L. Biermann, Astrophys. Phys. 26 (2006) 282] are given as well. In this paper, the two different types of limits will be used to draw conclusions about different emission models. An interpretation of stacking limits as diffuse limits to the emission from considered point source class is presented. The limits can for instance be used to constrain the predicted correlation of EGRET-detected diffuse emission and neutrino emission. Also, the correlation between X-ray and neutrino emission is constrained. Further results for source classes like TeV blazars and FR-II galaxies are presented. Starting from the source catalogs so-far examined for the stacking method, we discuss further potential catalogs and examine the possibilities of the second generation telescopes ICECUBE and KM3NET by comparing catalogs with respect to northern and southern hemisphere total flux. (C) 2007 Elsevier B.V. All rights reserved.</t>
  </si>
  <si>
    <t>Univ Dortmund, Inst Phys, D-44221 Dortmund, Germany; Max Planck Inst Kernphys, D-69177 Heidelberg, Germany; Max Planck Inst Radioastron, D-53121 Bonn, Germany; Univ Bonn, Dept Phys &amp; Astron, D-5300 Bonn, Germany; Univ Alabama, Dept Phys &amp; Astron, Tuscaloosa, AL 35487 USA</t>
  </si>
  <si>
    <t>Dortmund University of Technology; Max Planck Society; Max Planck Society; University of Bonn; University of Alabama System; University of Alabama Tuscaloosa</t>
  </si>
  <si>
    <t>Becker, JK (corresponding author), Univ Dortmund, Inst Phys, D-44221 Dortmund, Germany.</t>
  </si>
  <si>
    <t>julia.becker@udo.edu</t>
  </si>
  <si>
    <t>Tjus, Julia/G-8145-2012</t>
  </si>
  <si>
    <t>Tjus, Julia/0000-0002-1748-7367; Biermann, Peter/0000-0003-3948-6143; Rhode, Wolfgang/0000-0003-2636-5000</t>
  </si>
  <si>
    <t>0927-6505</t>
  </si>
  <si>
    <t>1873-2852</t>
  </si>
  <si>
    <t>ASTROPART PHYS</t>
  </si>
  <si>
    <t>Astropart Phys.</t>
  </si>
  <si>
    <t>10.1016/j.astropartphys.2007.04.007</t>
  </si>
  <si>
    <t>223FO</t>
  </si>
  <si>
    <t>WOS:000250355200009</t>
  </si>
  <si>
    <t>Smith, I</t>
  </si>
  <si>
    <t>Smith, Ian</t>
  </si>
  <si>
    <t>Global climate modelling within CSIRO: 1981 to 2006</t>
  </si>
  <si>
    <t>AUSTRALIAN METEOROLOGICAL MAGAZINE</t>
  </si>
  <si>
    <t>GENERAL-CIRCULATION MODEL; ATMOSPHERE COUPLING EXPERIMENT; SURFACE-TEMPERATURE ANOMALIES; ZONAL WAVE-NUMBER-3 PATTERN; ANTARCTIC CIRCUMPOLAR WAVE; HIGH-LATITUDE VARIABILITY; PHYSICALLY-BASED SCHEME; DOUBLED CO2 CLIMATES; LARGE-SCALE MODELS; INTERANNUAL VARIABILITY</t>
  </si>
  <si>
    <t>An overview is given of the Australian Commonwealth Scientific and Industrial Research Organisation (CSIRO) global climate modelling effort that has been underway, almost uninterrupted, since 1981. It reflects on the achievements over this time and also provides a comprehensive list of papers published by members of the climate modelling teams.</t>
  </si>
  <si>
    <t>CSIRO Marine &amp; Atmospher Res, Aspendale, Vic 3195, Australia</t>
  </si>
  <si>
    <t>Smith, I (corresponding author), CSIRO Marine &amp; Atmospher Res, PMB 1, Aspendale, Vic 3195, Australia.</t>
  </si>
  <si>
    <t>Ian.Smith@csiro.au</t>
  </si>
  <si>
    <t>Whetton, Penny H/A-6885-2012</t>
  </si>
  <si>
    <t>AUSTRALIAN BUREAU METEOROLOGY</t>
  </si>
  <si>
    <t>GPO BOX 1289, MELBOURNE, VIC 3001, AUSTRALIA</t>
  </si>
  <si>
    <t>0004-9743</t>
  </si>
  <si>
    <t>AUST METEOROL MAG</t>
  </si>
  <si>
    <t>Aust. Meteorol. Mag.</t>
  </si>
  <si>
    <t>249VP</t>
  </si>
  <si>
    <t>WOS:000252258500002</t>
  </si>
  <si>
    <t>Qi, LX</t>
  </si>
  <si>
    <t>Qi, Lixin</t>
  </si>
  <si>
    <t>Seasonal climate summary southern hemisphere (spring 2006): a weak El Nino in the tropical Pacific - warm and dry conditions in eastern and southern Australia</t>
  </si>
  <si>
    <t>Southern hemisphere circulation patterns and associated anomalies for the austral spring 2006 are reviewed. Particular emphasis is given to the Australian and Pacific regions. After developing during the winter, spring 2006 saw an El Nino event in the equatorial Pacific Ocean reach its maturity. Ocean surface and subsurface temperatures in the central to eastern tropical Pacific remained well above normal throughout the season, affecting many features of the general circulation and resulting in significant impacts in both the northern and southern hemispheres. For Australia, widespread dry conditions dominated the east and south, consistent with historical El Nino impacts. Many new spring temperature records were also set. Such warm and dry conditions intensified the long-term drought for much of eastern and southern Australia. Over the Antarctic, the size of the ozone hole during spring 2006 was at record or near-record levels.</t>
  </si>
  <si>
    <t>Bur Meterol, Natl Climate Ctr, Melbourne, Vic 3001, Australia</t>
  </si>
  <si>
    <t>Bureau of Meteorology - Australia</t>
  </si>
  <si>
    <t>Qi, LX (corresponding author), Bur Meterol, Natl Climate Ctr, GPO Box 1289, Melbourne, Vic 3001, Australia.</t>
  </si>
  <si>
    <t>l.qi@boin.gov.au</t>
  </si>
  <si>
    <t>WOS:000252258500006</t>
  </si>
  <si>
    <t>Sarrs, A</t>
  </si>
  <si>
    <t>Sarrs, Aspa</t>
  </si>
  <si>
    <t>Antarctic culture: 50 years of antarctic expeditions</t>
  </si>
  <si>
    <t>AVIATION SPACE AND ENVIRONMENTAL MEDICINE</t>
  </si>
  <si>
    <t>Antarctic; polar; adjustment; personality; organizational culture</t>
  </si>
  <si>
    <t>NORMATIVE BELIEFS; HUMAN-BEHAVIOR; PERFORMANCE; ORGANIZATIONS; EXPECTATIONS; PERSONALITY; PSYCHOLOGY; ANALOG; BIG</t>
  </si>
  <si>
    <t>Background: Analyses of data collected on returned Australian Antarctic personnel were conducted to examine links between personality traits, perceptions of Antarctic station culture, and perceptions of subjective fit with Antarctic station life and culture. Methods: Participants were 103 men who participated in Australian National Antarctic Research Expeditions (ANARE) over a 50-yr period from 1950 to 2000 representing the first 50 yr of ANARE and a] I positions and occupations included in Australian Antarctic expeditions. Participants completed self-report measures of personality, organizational culture, and subjective fit. Results: Results showed that those who described the culture as satisfaction-oriented (more friendly and participatory) reported better fit, increased satisfaction with their group membership, and less role conflict in terms of their work role. Results also showed a relationship between personality, perceptions of behavioral norms and expectations, and perceived fit. Specifically, openness and perceptions of station culture as satisfaction-oriented were identified as predictors of good fit with station life and culture. Conclusions:The implications of the results for Antarctic personnel selection and recruitment are discussed and the importance of further research in other analogous isolated, confined, and extreme settings is highlighted.</t>
  </si>
  <si>
    <t>Univ Adelaide, Sch Psychol, Adelaide, SA 5005, Australia</t>
  </si>
  <si>
    <t>University of Adelaide</t>
  </si>
  <si>
    <t>Sarrs, A (corresponding author), Univ Adelaide, Sch Psychol, Adelaide, SA 5005, Australia.</t>
  </si>
  <si>
    <t>aspa.sarris@adelaide.edu.au</t>
  </si>
  <si>
    <t>AEROSPACE MEDICAL ASSOC</t>
  </si>
  <si>
    <t>ALEXANDRIA</t>
  </si>
  <si>
    <t>320 S HENRY ST, ALEXANDRIA, VA 22314-3579 USA</t>
  </si>
  <si>
    <t>0095-6562</t>
  </si>
  <si>
    <t>1943-4448</t>
  </si>
  <si>
    <t>AVIAT SPACE ENVIR MD</t>
  </si>
  <si>
    <t>Aviat. Space Environ. Med.</t>
  </si>
  <si>
    <t>Public, Environmental &amp; Occupational Health; Medicine, General &amp; Internal; Sport Sciences</t>
  </si>
  <si>
    <t>Public, Environmental &amp; Occupational Health; General &amp; Internal Medicine; Sport Sciences</t>
  </si>
  <si>
    <t>206HZ</t>
  </si>
  <si>
    <t>WOS:000249175800007</t>
  </si>
  <si>
    <t>Park, H; Ahn, IY; Lee, HE</t>
  </si>
  <si>
    <t>Park, Hyun; Ahn, In-Young; Lee, Hye Eun</t>
  </si>
  <si>
    <t>Expression of heat shock protein 70 in the thermally stressed Antarctic clam Laternula elliptica</t>
  </si>
  <si>
    <t>CELL STRESS &amp; CHAPERONES</t>
  </si>
  <si>
    <t>HSP70 GENE-EXPRESSION; EUROPEAN FLAT OYSTER; SHOCK-PROTEIN HSP70; OSTREA-EDULIS; MOLECULAR CHAPERONES; PACIFIC OYSTER; HEAT; INDUCTION; SEQUENCE; BINDING</t>
  </si>
  <si>
    <t>Heat shock protein 70 (designated Laternula elliptica Hsp70 (LEHsp70)) expression was investigated in an Antarctic mud clam to see whether or not the inducible heat shock response has been conserved throughout over 25 million years of adaptation to constant low environmental temperatures. LEHsp70 cDNA was cloned and sequenced from the Antarctic clam Latemula elliptica. We used degenerated primers designed in the highly conserved regions of Hsp to amplify the corresponding mRNA, and full-length cDNA was obtained by rapid amplification of cDNA ends (RACE). The full length of LEHsp70 cDNA was 2470 bp, with a 5' untranslated region (UTR) of 92 bp, a 3' UTR of 416 bp, and an open reading frame (ORF) of 1962 bp encoding a polypeptide of 653 amino acids with an estimated molecular mass of 71.266 kDa and an estimated isoelectric point of 5.20. LEHsp70 contained highly conserved functional motifs of the cytosolic Hsp70 family. Expression of the LEHsp70 gene was quantified by quantitative reverse transcriptase-polymerase chain reaction (RT-PCR) of digestive gland and gill tissues. Heat shock (10 degrees C for different time periods) caused rapid induction of LEHsp70. A significant 4.6 +/- 0.14-fold increase in the LEHsp70/beta-Actin mRNA ratio occurred in the gill at 12 hours, which returned to baseline after 48 hours. In contrast, the maximum expression in the digestive gland (3.6 +/- 0.36) was reached at 24 hours and was still significant after 48 hours (1.89 +/- 0.21). This indicates that LEHsp70 may play an important role in mediating thermal stress and tolerance in this clam.</t>
  </si>
  <si>
    <t>Korea Polar Res Inst, Korea Ocean Res &amp; Dev Inst, Inchon 406840, South Korea</t>
  </si>
  <si>
    <t>Park, H (corresponding author), Korea Polar Res Inst, Korea Ocean Res &amp; Dev Inst, Songdo Dong 7-50, Inchon 406840, South Korea.</t>
  </si>
  <si>
    <t>hpark@kopri.re.kr</t>
  </si>
  <si>
    <t>Lee, Hye Eun/AAE-6317-2022</t>
  </si>
  <si>
    <t>Lee, Hye Eun/0000-0003-4648-5042; Park, Hyun/0000-0002-8055-2010</t>
  </si>
  <si>
    <t>1355-8145</t>
  </si>
  <si>
    <t>1466-1268</t>
  </si>
  <si>
    <t>CELL STRESS CHAPERON</t>
  </si>
  <si>
    <t>Cell Stress Chaperones</t>
  </si>
  <si>
    <t>FAL</t>
  </si>
  <si>
    <t>10.1379/CSC-271.1</t>
  </si>
  <si>
    <t>Cell Biology</t>
  </si>
  <si>
    <t>210XZ</t>
  </si>
  <si>
    <t>WOS:000249490200009</t>
  </si>
  <si>
    <t>Imperio, T; Bargagli, R; Marri, L</t>
  </si>
  <si>
    <t>Imperio, Tatiana; Bargagli, Roberto; Marri, Laura</t>
  </si>
  <si>
    <t>Detection of IncP replicon-specific regions in DNA from Antarctic microbiota</t>
  </si>
  <si>
    <t>CENTRAL EUROPEAN JOURNAL OF BIOLOGY</t>
  </si>
  <si>
    <t>broad host range plasmids; IncP; Antarctica; polymerase chain reaction</t>
  </si>
  <si>
    <t>COMPLETE NUCLEOTIDE-SEQUENCE; HOST-RANGE-PLASMIDS; RIBOSOMAL-RNA GENE; BACTERIAL; CONJUGATION; SOILS</t>
  </si>
  <si>
    <t>Plasmids capable of horizontal transfer contribute to the adaptability of bacteria, as they may provide genes that enable their hosts to cope with different selective pressures. Only limited information is available on plasmids from Antarctic habitats, and up until now surveys have only used traditional methods of endogenous plasmid isolation. The method based on primer systems, designed on the basis of published sequences for plasmids from different incompatibility (Inc) groups, is appropriate to detect the replicon-specific regions of corresponding plasmids in cultured bacteria, or in total community DNA, which share sufficient DNA similarity with reference plasmids at the amplified regions. In this study, we applied broad-host-range plasmid-specific primers to DNA from microbial samples collected at six different locations in Northern Victoria Land (Antarctica). DNA preparations were used as targets for PCR (polymerase chain reaction) amplification with primers for the IncP (trfA2) and IncQ (oriV) groups. PCR products were Southern blotted and hybridized with PCR-derived probes for trfA2 and oriV regions. This approach detected the occurrence of IncP-specific sequences in eight out of fifteen DNA samples, suggesting a gene-mobilizing capacity within the original habitats. (c) Versita Warsaw and Springer-Verlag Berlin Heidelberg. All rights reserved.</t>
  </si>
  <si>
    <t>Univ Siena, Dept Evolut Biol, I-53100 Siena, Italy; Univ Siena, Dept Environm Sci, I-53100 Siena, Italy</t>
  </si>
  <si>
    <t>University of Siena; University of Siena</t>
  </si>
  <si>
    <t>Marri, L (corresponding author), Univ Siena, Dept Evolut Biol, I-53100 Siena, Italy.</t>
  </si>
  <si>
    <t>marri@unisi.it</t>
  </si>
  <si>
    <t>Marri, Laura/0000-0001-7357-8944</t>
  </si>
  <si>
    <t>VERSITA</t>
  </si>
  <si>
    <t>WARSAW 41</t>
  </si>
  <si>
    <t>9 DRUGA POPRZECNA ST, 04-604 WARSAW 41, POLAND</t>
  </si>
  <si>
    <t>1895-104X</t>
  </si>
  <si>
    <t>CENT EUR J BIOL</t>
  </si>
  <si>
    <t>Cent. Eur. J. Biol.</t>
  </si>
  <si>
    <t>10.2478/s11535-007-0025-y</t>
  </si>
  <si>
    <t>217YY</t>
  </si>
  <si>
    <t>WOS:000249984400006</t>
  </si>
  <si>
    <t>Liu, YQ; Yao, TD; Kang, SC; Jiao, NZ; Zeng, YH; Huang, SJ; Luo, TW</t>
  </si>
  <si>
    <t>Liu YongQin; Yao TanDong; Kang ShiChang; Jiao NianZhi; Zeng YongHui; Huang SiJun; Luo TingWei</t>
  </si>
  <si>
    <t>Microbial community structure in major habitats above 6000 m on Mount Everest</t>
  </si>
  <si>
    <t>Mt. Everest; bacterial abundance; 16S rRNA; above 6000 m</t>
  </si>
  <si>
    <t>ICE CORE; CLIMATE-CHANGE; MT. EVEREST; 16S RDNA; GLACIER; SNOW; BACTERIA; DIVERSITY; BIOMASS; RECORDS</t>
  </si>
  <si>
    <t>Bacterial abundance in surface snow between 6600 and 8000 m a.s.l. on the northern slope of Mt. Everest was investigated by flow cytometry. Bacterial diversity in serac ice at 6000 m a.s.l., glacier meltwater at 6350 m, and surface snow at 6600 m a.s.l. was examined by constructing a 16S rRNA gene clone library. Bacterial abundance in snow was higher than that in the Antarctic but similar to other mountain regions in the world. Bacterial abundance in surface snow increased with altitude but showed no correlation with chemical parameters. Bacteria in the cryosphere on Mt. Everest were closely related to those isolated from soil, aquatic environments, plants, animals, humans and,other frozen environments. Bacterial community structures in major habitats above 6000 m were variable. The Cytophaga-Flavobacterium-Bacteroides (CFB) group absolutely dominated in glacial meltwater, while beta-Proteobacteria and the CFB group dominated in serac ice, and beta-Proteobacteria and Actinobacteria dominated in surface snow. The remarkable differences among the habitats were most likely due to the bacterial post-deposition changes during acclimation processes.</t>
  </si>
  <si>
    <t>Chinese Acad Sci, Inst Tibetan Plateau Res, Beijing 100085, Peoples R China; Chinese Acad Sci, State Key Lab Cryospher Sci, Lanzhou 730000, Peoples R China; Xiamen Univ, State Key Lab Marine Environm Sci, Xiamen 361005, Peoples R China</t>
  </si>
  <si>
    <t>Chinese Academy of Sciences; Institute of Tibetan Plateau Research, CAS; Chinese Academy of Sciences; Xiamen University</t>
  </si>
  <si>
    <t>Yao, TD (corresponding author), Chinese Acad Sci, Inst Tibetan Plateau Res, Beijing 100085, Peoples R China.</t>
  </si>
  <si>
    <t>tdyao@itpcas.ac.cn; jiao@xmu.edu.cn</t>
  </si>
  <si>
    <t>Zeng, Yonghui/C-5663-2008; Luo, Tingwei/B-7425-2012; Kang, Shichang/I-6830-2018</t>
  </si>
  <si>
    <t>Kang, Shichang/0000-0003-2115-9005; ZENG, YONGHUI/0000-0001-7483-5017</t>
  </si>
  <si>
    <t>10.1007/s11434-007-0360-4</t>
  </si>
  <si>
    <t>209IB</t>
  </si>
  <si>
    <t>WOS:000249381100009</t>
  </si>
  <si>
    <t>Shi, ZG; Yan, XD; Yin, CH; Wang, ZM</t>
  </si>
  <si>
    <t>Shi ZhengGuo; Yan XiaoDong; Yin ChongHua; Wang ZhaoMin</t>
  </si>
  <si>
    <t>Effects of historical land cover changes on climate</t>
  </si>
  <si>
    <t>climate change; radiative forcing; land cover changes; deforestation; climate-biosphere interactions</t>
  </si>
  <si>
    <t>THERMOHALINE CIRCULATION; ATMOSPHERIC CO2; GLOBAL CLIMATE; TROPICAL DEFORESTATION; SEA-ICE; MODEL; VEGETATION; SIMULATION; ERA; PALEOCLIMATE</t>
  </si>
  <si>
    <t>In order to explore the influence of anthropogenic land use on the climate system during the last millennium, a set of experiments is performed with an Earth system model of intermediate complexity-the McGill Paleoclimate Model ( MPM-2). The present paper mainly focuses on biogeophysical effects of historical land cover changes. A dynamic scenario of deforestation is described based on changes in cropland fraction ( RF99). The model simulates a decrease in global mean annual temperature in the range of 0.09-0.16 degrees C, especially 0.14-0.22 degrees C in Northern Hemisphere during the last 300 years. The responses of climate system to GHGs concentration changes are also calculated for comparisons. Now, afforestation is becoming an important choice for the enhancement of terrestrial carbon sequestration and adjustment of regional climate. The results indicate that biogeophysical effects of land cover changes cannot be neglected in the assessments of climate change.</t>
  </si>
  <si>
    <t>Chinese Acad Sci, Key Lab Reg Climate Environm Res Temperate E Asia, Beijing 100029, Peoples R China; Grad Univ, Chinese Acad Sci, Beijing 100049, Peoples R China; British Antarctic Survey, Cambridge CB3 0ET, England</t>
  </si>
  <si>
    <t>Chinese Academy of Sciences; Chinese Academy of Sciences; University of Chinese Academy of Sciences, CAS; UK Research &amp; Innovation (UKRI); Natural Environment Research Council (NERC); NERC British Antarctic Survey</t>
  </si>
  <si>
    <t>Yan, XD (corresponding author), Chinese Acad Sci, Key Lab Reg Climate Environm Res Temperate E Asia, Beijing 100029, Peoples R China.</t>
  </si>
  <si>
    <t>yxd@tea.ac.cn</t>
  </si>
  <si>
    <t>Shi, Zhengguo/F-3106-2011</t>
  </si>
  <si>
    <t>Yan, Xiaodong/0000-0002-0774-9140; wang, zhaomin/0000-0001-7103-6025; shi, zheng guo/0000-0002-6656-5675</t>
  </si>
  <si>
    <t>10.1007/s11434-007-0381-z</t>
  </si>
  <si>
    <t>216YS</t>
  </si>
  <si>
    <t>WOS:000249915500017</t>
  </si>
  <si>
    <t>Shapo, JL; Moeller, PD; Galloway, SB</t>
  </si>
  <si>
    <t>Shapo, Jacqueline L.; Moeller, Peter D.; Galloway, Sylvia B.</t>
  </si>
  <si>
    <t>Antimicrobial activity in the common seawhip, Leptogorgia virgulata (Cnidaria: Gorgonaceae)</t>
  </si>
  <si>
    <t>COMPARATIVE BIOCHEMISTRY AND PHYSIOLOGY B-BIOCHEMISTRY &amp; MOLECULAR BIOLOGY</t>
  </si>
  <si>
    <t>antimicrobial activity; coral innate immunity; homarine; leptogorgia virgulata; liquid growth inhibition assay; secondary metabolite; octocoral; gorgonian</t>
  </si>
  <si>
    <t>MARINE NATURAL-PRODUCTS; ANTARCTIC SOFT CORALS; METHYL PICOLINIC ACID; SCLERACTINIAN CORALS; ANTIBACTERIAL ACTIVITY; GORGONIAN CORALS; INNATE IMMUNITY; HOMARINE; METABOLITES; OCTOCORALLIA</t>
  </si>
  <si>
    <t>Antimicrobial activity was examined in the gorgonian Leptogorgia virgulata (common seawhip) from South Carolina waters. Extraction and assay protocols were developed to identify antimicrobial activity in crude extracts of L. virgulata. Detection was determined by liquid growth inhibition assays using Escherichia coli BL21, Vibrio harveyii, Micrococcus luteus, and a Bacillus sp. isolate. This represents the first report of antimicrobial activity in L. virgulata, a temperate/sub-tropical coral of the western Atlantic Ocean. Results from growth inhibition assays guided a fractionation scheme to identify active compounds. Reverse-phase HPLC, HPLC-mass spectrometry, and H-1 and C-13 NMR spectroscopy were used to isolate, purify, and characterize metabolites in antimicrobial fractions of L. virgulata. Corroborative HPLC-MS/NMR evidence validated the presence of homarine and a homarine analog, well-known emetic metabolites previously isolated from L. virgulata, in coral extracts. In subsequent assays, partially-purified L. virgulata fractions collected from HPLC-MS fractionation were shown to contain antimicrobial activity using M. luteus and V harveyii. This study provides evidence that homarine is an active constituent of the innate immune system in L. virgulata. We speculate it may act synergistically with cofactors and/or congeners in this octocoral to mount a response to microbial invasion and disease. (C) 2007 Published by Elsevier Inc.</t>
  </si>
  <si>
    <t>Grice Marine Lab, Charleston, SC 29412 USA; NOAA, NOS, CCEHBR, Hollings Marine Lab, Charleston, SC 29412 USA; Coll Charleston, Charleston, SC 29424 USA</t>
  </si>
  <si>
    <t>National Oceanic Atmospheric Admin (NOAA) - USA; National Ocean Service, NOAA; College of Charleston</t>
  </si>
  <si>
    <t>Galloway, SB (corresponding author), Grice Marine Lab, 205 Ft Johnson Rd, Charleston, SC 29412 USA.</t>
  </si>
  <si>
    <t>Sylvia.Galloway@noaa.gov</t>
  </si>
  <si>
    <t>De La Cour, Jacqueline/E-7920-2011</t>
  </si>
  <si>
    <t>De La Cour, Jacqueline/0000-0001-9070-1502</t>
  </si>
  <si>
    <t>1096-4959</t>
  </si>
  <si>
    <t>COMP BIOCHEM PHYS B</t>
  </si>
  <si>
    <t>Comp. Biochem. Physiol. B-Biochem. Mol. Biol.</t>
  </si>
  <si>
    <t>10.1016/j.cbpb.2007.04.019</t>
  </si>
  <si>
    <t>Biochemistry &amp; Molecular Biology; Zoology</t>
  </si>
  <si>
    <t>206OU</t>
  </si>
  <si>
    <t>WOS:000249193600008</t>
  </si>
  <si>
    <t>Mosyakin, SL; Bezusko, LG; Mosyakin, AS</t>
  </si>
  <si>
    <t>Mosyakin, S. L.; Bezusko, L. G.; Mosyakin, A. S.</t>
  </si>
  <si>
    <t>Origins of native vascular plants of Antarctica: Comments from a historical phytogeography viewpoint</t>
  </si>
  <si>
    <t>CYTOLOGY AND GENETICS</t>
  </si>
  <si>
    <t>MOLECULAR EVIDENCE; ALPINE PLANTS; EVOLUTION; BIOTA; COLONIZATION; BIOGEOGRAPHY; DISPERSAL; HOLOCENE; MARITIME; RECONSTRUCTIONS</t>
  </si>
  <si>
    <t>The article provides an overview of the problem of the origin of the only native vascular plants of Antarctica, Deschampsia antarctica (Poaceae) and Colobanthus quitensis (Caryophyllaceae), from the viewpoint of modem historical phytogeography and related fields of science. Some authors suggest the Tertiary relict status of these plants in Antarctica, while others favor their recent Holocene immigration. Direct data (fossil or molecular genetic data) for solving this controversy are still lacking. However, there is no convincing evidence supporting the Tertiary relict status of these plants in Antarctica. Most probably, D. antarctica and C. quitensis migrated to Antarctica in the Holocene or Late Pleistocene (last interglacial?) through bird-aided long-distance dispersal. It should be critically tested by (1) appropriate methods of molecular phylogeography; (2) molecular clock methods, if feasible; (3) direct paleobotanical studies; (4) paleoclimatic reconstructions; and (5) comparison with cases of taxa with similar distribution/dispersal patterns. The problem of the origin of Antarctic vascular plants is a perfect model for integration of modern methods of molecular phylogeography and phylogenetics, population biology, paleobiology, and paleogeography for solving a long-standing enigma of historical plant geography and evolution.</t>
  </si>
  <si>
    <t>[Mosyakin, S. L.; Bezusko, L. G.; Mosyakin, A. S.] Natl Acad Sci Ukraine, Kholodny Inst Bot, Ul Tereshchenkivska 2, UA-01601 Kiev, Ukraine; [Mosyakin, A. S.] Natl Univ Kyiv Mohyla Acad, UA-04070 Kiev, Ukraine</t>
  </si>
  <si>
    <t>National Academy of Sciences Ukraine; M.G. Kholodny Institute of Botany, NAS of Ukraine; Ministry of Education &amp; Science of Ukraine; National University of Kyiv Mohyla Academy</t>
  </si>
  <si>
    <t>Mosyakin, SL (corresponding author), Natl Acad Sci Ukraine, Kholodny Inst Bot, Ul Tereshchenkivska 2, UA-01601 Kiev, Ukraine.</t>
  </si>
  <si>
    <t>syst@botany.kyiv.ua</t>
  </si>
  <si>
    <t>Mosyakin, Sergei/L-9984-2019</t>
  </si>
  <si>
    <t>Mosyakin, Sergei/0000-0002-3570-3190; Bezusko, Lyudmila/0000-0001-6682-6129</t>
  </si>
  <si>
    <t>PLEIADES PUBLISHING INC</t>
  </si>
  <si>
    <t>PLEIADES HOUSE, 7 W 54 ST, NEW YORK, NY, UNITED STATES</t>
  </si>
  <si>
    <t>0095-4527</t>
  </si>
  <si>
    <t>1934-9440</t>
  </si>
  <si>
    <t>CYTOL GENET+</t>
  </si>
  <si>
    <t>Cytol. Genet.</t>
  </si>
  <si>
    <t>10.3103/S009545270705009X</t>
  </si>
  <si>
    <t>287MR</t>
  </si>
  <si>
    <t>WOS:000254921700009</t>
  </si>
  <si>
    <t>Briggs, JC</t>
  </si>
  <si>
    <t>Briggs, John C.</t>
  </si>
  <si>
    <t>Marine longitudinal biodiversity: causes and conservation</t>
  </si>
  <si>
    <t>DIVERSITY AND DISTRIBUTIONS</t>
  </si>
  <si>
    <t>longitudinal distribution; marine biogeography; temperature; speciation rate; species diversity; centres of origin; conservation</t>
  </si>
  <si>
    <t>LATITUDINAL GRADIENTS; SPECIES-DIVERSITY; SPECIATION; PATTERNS; PHYLOGEOGRAPHY; BIOGEOGRAPHY; EXTINCTION; PHYLOGENY; EVOLUTION; INVASIONS</t>
  </si>
  <si>
    <t>The horizontal temperature zones of the earth tend to restrict the latitudinal ranges of species but allow the possibility of exceedingly broad longitudinal dispersals. In the Tropical Zone, biodiversity on the continental shelves is not homogeneous but is concentrated in two conspicuous peaks, one in the Indo-Pacific Ocean and the other in the Atlantic. The Indo-Pacific biodiversity peak is located within a relatively small area called the East Indies Triangle. The Atlantic peak is located in the southern Caribbean Sea. Evidence that has been accumulated over the years indicates that each area functions as a centre of origin and evolutionary radiation. What are the causes of these concentrations and their present functions? A newly published model indicates a positive relationship between environmental temperature and the rate of speciation. While this helps to explain the generally high tropical diversity, and the negative relationship between diversity and latitude, it does not provide a reason for the longitudinal concentrations. But, other new research serves to substantiate previous indications of a positive relationship between speciation rate and species diversity. The existence of this positive feedback, together with some contributory factors, provides the reason why concentrations occur. The evolutionary radiation probably begins when the build-up of species diversity reaches a critical level. The warm-temperate biotas are derived from the tropics. Their northern longitudinal relationships tend to be minor but, in the southern hemisphere, the West Wind Drift is an important dispersal mechanism for both warm-temperate and cold-temperate species. The cold-temperate biotas peaked in two areas, the North Pacific and the Antarctic; each has developed into a centre of origin. The continuous dispersal of well-adapted species from the centres helps peripheral communities maintain diversity.</t>
  </si>
  <si>
    <t>Oregon State Univ, Dept Fisheries &amp; Wildlife, Corvallis, OR 97333 USA</t>
  </si>
  <si>
    <t>Oregon State University</t>
  </si>
  <si>
    <t>Briggs, JC (corresponding author), Oregon State Univ, Dept Fisheries &amp; Wildlife, Corvallis, OR 97333 USA.</t>
  </si>
  <si>
    <t>clingfishes@yahoo.com</t>
  </si>
  <si>
    <t>1366-9516</t>
  </si>
  <si>
    <t>1472-4642</t>
  </si>
  <si>
    <t>DIVERS DISTRIB</t>
  </si>
  <si>
    <t>Divers. Distrib.</t>
  </si>
  <si>
    <t>10.1111/j.1472-4642.2007.00362.x</t>
  </si>
  <si>
    <t>203ID</t>
  </si>
  <si>
    <t>WOS:000248967400007</t>
  </si>
  <si>
    <t>Clarke, A; Griffiths, HJ; Linse, K; Barnes, DKA; Crame, JA</t>
  </si>
  <si>
    <t>Clarke, Andrew; Griffiths, Huw J.; Linse, Katrin; Barnes, David K. A.; Crame, J. Alistair</t>
  </si>
  <si>
    <t>How well do we know the Antarctic marine fauna? A preliminary study of macroecological and biogeographical patterns in Southern Ocean gastropod and bivalve molluscs</t>
  </si>
  <si>
    <t>Antarctica; biogeography; macroecology; mollusc; latitude; diversity</t>
  </si>
  <si>
    <t>DEEP-SEA; SPECIES-ACCUMULATION; ASELLOTA CRUSTACEA; BIODIVERSITY; DIVERSITY; RICHNESS; COLONIZATION; SPECIATION; ISOPODA; GEORGIA</t>
  </si>
  <si>
    <t>The aim of this study was to use data for gastropod and bivalve molluscs to determine whether the fauna of the Southern Ocean is sufficiently well known to establish robust biogeographical and macroecological patterns. We chose molluscs for this work because they have been collected by almost every biological expedition to Antarctica, and are relatively well known taxonomically. Sampling of the continental shelf fauna is reasonably full and extensive, although new species are still being described and there are significant gaps in sampling off Wilkes Land and in the Bellingshausen and Amundsen Seas. Species richness was highest in those areas that have been subject to the most intense research activity and this pattern remained even after correction for sampling intensity. The low species richness of the Southern Ocean molluscan fauna compared with many tropical sites is confirmed, and is related principally to the absence of the large number of rare taxa that characterize some tropical assemblages. There is as yet no convincing evidence for a latitudinal cline in molluscan diversity within the Southern Ocean. Multivariate analyses defined biogeographical provinces very similar to those established previously, though they also identified a number of finer-scale sub-provinces including a small area of high diversity off Enderby Land. Most Southern Ocean gastropods and bivalves are rare, with limited distributions; relatively few taxa have circumpolar distributions.</t>
  </si>
  <si>
    <t>NERC, British Antarctic Survey, Cambridge CB3 0ET, England</t>
  </si>
  <si>
    <t>Clarke, A (corresponding author), NERC, British Antarctic Survey, High Cross,Madingley Rd, Cambridge CB3 0ET, England.</t>
  </si>
  <si>
    <t>Griffiths, Huw J/0000-0003-1764-223X; Linse, Katrin/0000-0003-3477-3047</t>
  </si>
  <si>
    <t>10.1111/j.1472-4642.2007.00380.x</t>
  </si>
  <si>
    <t>WOS:000248967400015</t>
  </si>
  <si>
    <t>Sarris, A; Kirby, N</t>
  </si>
  <si>
    <t>Sarris, Aspa; Kirby, Neil</t>
  </si>
  <si>
    <t>Behavioral norms and expectations on Antarctic stations</t>
  </si>
  <si>
    <t>ENVIRONMENT AND BEHAVIOR</t>
  </si>
  <si>
    <t>Antarctic; polar; organizational culture</t>
  </si>
  <si>
    <t>NORMATIVE BELIEFS; CULTURE; PERFORMANCE; STRESS; ORGANIZATIONS; ENVIRONMENTS</t>
  </si>
  <si>
    <t>This study examined the organizational culture of Australian Antarctic stations in terms of behavioral norms and expectations. The study also investigated the relationship between perceptions of Antarctic station culture and individual attitudes and job outcomes. Participants were 116 returned Australian Antarctic expeditioners. Results showed that the overall profile of Antarctic station culture reflected a satisfaction-oriented culture, with the majority of participants describing Antarctic stations as open, friendly, and participatory environments. However, results also revealed gender differences in perceptions of Antarctic station norms and expectations. Although men generally described Antarctic station culture as open and team oriented, women described it as rule-oriented, hierarchical, and nonparticipatory. Perceptions of Antarctic station culture were related to individual attitudes, including satisfaction with being a member of the expedition and intention to return to the Antarctic.</t>
  </si>
  <si>
    <t>Univ Adelaide, Adelaide, SA 5005, Australia</t>
  </si>
  <si>
    <t>Sarris, A (corresponding author), Univ Adelaide, Adelaide, SA 5005, Australia.</t>
  </si>
  <si>
    <t>SAGE PUBLICATIONS INC</t>
  </si>
  <si>
    <t>THOUSAND OAKS</t>
  </si>
  <si>
    <t>2455 TELLER RD, THOUSAND OAKS, CA 91320 USA</t>
  </si>
  <si>
    <t>0013-9165</t>
  </si>
  <si>
    <t>1552-390X</t>
  </si>
  <si>
    <t>ENVIRON BEHAV</t>
  </si>
  <si>
    <t>Environ. Behav.</t>
  </si>
  <si>
    <t>10.1177/0013916506293428</t>
  </si>
  <si>
    <t>Environmental Studies; Psychology, Multidisciplinary</t>
  </si>
  <si>
    <t>Environmental Sciences &amp; Ecology; Psychology</t>
  </si>
  <si>
    <t>200IJ</t>
  </si>
  <si>
    <t>WOS:000248756800006</t>
  </si>
  <si>
    <t>Corsolini, S; Borghesi, N; Schiamone, A; Focardi, S</t>
  </si>
  <si>
    <t>Corsolini, Simonetta; Borghesi, Nicoletta; Schiamone, Alessandra; Focardi, Silvano</t>
  </si>
  <si>
    <t>Polybrominated diphenyl ethers, polychlorinated dibenzo-dioxins, -furans, and -biphenyls in three species of Antarctic penguins</t>
  </si>
  <si>
    <t>ENVIRONMENTAL SCIENCE AND POLLUTION RESEARCH</t>
  </si>
  <si>
    <t>Antarctica; coplanar PCBs; HCB; penguins; p,p '-DDE; PBDEs; PCBs; PCDDs; PCDFs; TEQs</t>
  </si>
  <si>
    <t>BROMINATED FLAME RETARDANTS; PERSISTENT ORGANIC POLLUTANTS; LONG-RANGE TRANSPORT; ORGANOCHLORINE RESIDUES; P-DIOXINS; NORTH-SEA; BIPHENYLS; PCBS; FISH; PESTICIDES</t>
  </si>
  <si>
    <t>Background, Aims and Scope. Fish-eating seabirds are recognized to be at risk of accumulating toxic contaminants due to their high position in the trophic web and to their low ability to metabolize xenobiotic compounds. Penguins are widely distributed in Antarctica and represent an important fraction of the Antarctic biomass. They feed mainly on krill and, depending on krill availability, also on fish. It has been reported that predators may be a sink for volatile and toxic chemicals and this may pose a serious environmental problem. Polybrominated diphenyl ethers (PBDEs), polychlorinated dibenzo-dioxins (PCDDs), -furans (PCDFs), and -biphenyls (PCBs), including non-ortho congeners, hexachlorobenzene (HCB) and p,p'-DDE, were quantified in three species of Antarctic Pygoscelids in order to evaluate their accumulation patterns. The potential toxicity of twenty-two dioxin-like congeners was assessed and expressed as 2,3,7,8-tetra CDD equivalents (TEQs). Differences between males and females were investigated. Methods. Blood samples of the Adelie penguin Pygoscelis adeliae, Chinstrap penguin Pygoscelis antarctica and Gentoo penguin Pygoscelis papua were collected at Admiralty Bay, King George Is (62 degrees 10'39 S, 58 degrees 26'46 W) in February 2004. Halogenated hydrocarbons were identified and quantified using gas chromatography coupled with gas chromatography mass spectrometry analyses. Results are expressed on a wet weight basis. Results and Discussion. HCB, p,p'-DDE and Sigma PCBs were higher in Adelie penguins (6.7 +/- 6.1, 8.2 +/- 3.3 and 9.8 +/- 3.8 ng/g, respectively) than in Chinstrap and Gentoo penguins, both of which showed values in the same order of magnitude, but approximately 40% lower than Adelie penguins. Hexa-CBs ranged 35-45% of the residue. Low-chlorinated PCBs (nos. 70+76+95+56+60+101) accounted for 40-60% in the three species. PCB101 made up 15% of,the residue in Adelie penguins. PBDEs were 291 +/- 477, 107 +/- 104 and 116 +/- 108 pg/g in Adelie, Chinstrap and Gentoo penguins, respectively; the most abundant congeners were BDE47 in Adelie and Chinstrap penguins and BDE17 in Gentoo penguins. PCDDs were 22 +/- 32, 6.5 +/- 7.4 and 18 +/- 23 pg/g in Adelie, Chinstrap and Gentoo penguins, respectively. PCDFs were higher in Addie penguins and lower in Chinstrap penguins. PCDDs/Fs and PBDEs were higher in males than in females of Gentoo and Chinstrap penguins; differences in concentrations were likely related to the partial detoxification that occurs in females during egg formation. Of the four non-ortho PCBs measured, PCB126 occurredat the highest concentrations and contributed the majority of the non-ortho PCB-TEQ in Gentoo and Chinstrap penguins. The highest TEQs were found in the Gentoo penguin and due mainly to PCDDs and non-ortho PCBs. Conclusions. POP concentrations in penguins were lower than those found in seabird species from other areas of the world. Different chemical accumulation patterns were observed in relation to species and sex; the Adelie penguin showed the highest POP levels. Dissimilar ecological or metabolic features may be involved; the diverse timing of reproduction steps can be responsible for those differences; moreover, Adelie penguins feed on krill (a fatty resource) more abundantly than the other two species during the rearing period. Recommendation and Outlook. The South Shetland Islands might be subjected to a higher chemical impact with respect to the rest of Antarctica, due to their being near South America. Because penguins are fish-eating birds showing low detoxifying capacities and key-species in Antarctic ecosystems, further studies on their xenobiotic metabolism should be carried out.</t>
  </si>
  <si>
    <t>Univ Siena, Dipartimento Sci Ambientali G Sarfatti, I-53100 Siena, Italy</t>
  </si>
  <si>
    <t>Corsolini, S (corresponding author), Univ Siena, Dipartimento Sci Ambientali G Sarfatti, Via Laterina 8, I-53100 Siena, Italy.</t>
  </si>
  <si>
    <t>corsolini@unisi.it</t>
  </si>
  <si>
    <t>Corsolini, Simonetta/B-9460-2012</t>
  </si>
  <si>
    <t>Corsolini, Simonetta/0000-0002-9772-2362</t>
  </si>
  <si>
    <t>0944-1344</t>
  </si>
  <si>
    <t>1614-7499</t>
  </si>
  <si>
    <t>ENVIRON SCI POLLUT R</t>
  </si>
  <si>
    <t>Environ. Sci. Pollut. Res.</t>
  </si>
  <si>
    <t>10.1065/espr2006.01.017</t>
  </si>
  <si>
    <t>234IO</t>
  </si>
  <si>
    <t>WOS:000251154900009</t>
  </si>
  <si>
    <t>Ruggiero, I; Raimo, G; Palma, M; Arcari, P; Masullo, M</t>
  </si>
  <si>
    <t>Ruggiero, Immacolata; Raimo, Gennaro; Palma, Margherita; Arcari, Paolo; Masullo, Mariorosario</t>
  </si>
  <si>
    <t>Molecular and functional properties of the psychrophilic elongation factor G from the Antarctic eubacterium Pseudoalteromonas haloplanktis TAC 125</t>
  </si>
  <si>
    <t>elongation factor G; psychrophilic; Pseudoalteromonas haloplanktis; GTPase; heat stability</t>
  </si>
  <si>
    <t>FUSIDIC ACID RESISTANCE; STRUCTURAL-PROPERTIES; CONSENSUS SEQUENCE; RIBOSOMAL-SUBUNIT; BINDING DOMAIN; CATALYTIC SITE; GTP HYDROLYSIS; SWISS-MODEL; FACTOR-TU; PROTEIN</t>
  </si>
  <si>
    <t>The molecular and functional properties of the elongation factor (EF) G from the psychrophilic Antarctic eubacterium Pseudoalteromonas haloplanktis (Ph) were studied. PhEF-G catalyzed protein synthesis in vitro that was inhibited by fusidic acid, an antibiotic specifically acting on EF-G. The EF interacted with GDP only in the presence of P. haloplanktis ribosome and fusidic acid with an affinity similar to that displayed by Escherichia coli EF-G. The psychrophilic translocase elicited a ribosome-dependent GTPase that was competitively inhibited by GDP, the slowly hydrolyzable GTP analog GppNHp, and the protein synthesis inhibitor ppGDP. The temperature dependence of the activity of PhEF-G reached its maximum at least 26 degrees C beyond the growth temperature of P. haloplanktis (4-20 degrees C). The heat inactivation profile of the ribosome-dependent GTPase of PhEF-G gave a temperature for half inactivation (46 degrees C), significantly lower than that for half denaturation measured by either UV- (57 degrees C) or fluorescence-melting (62 degrees C). This finding was attributed to a different effect of the temperature on the catalytic domain with respect to that elicited on the other domains constituting the EF, thus confirming the differential molecular flexibility present in psychrophilic enzymes. A molecular model, based on the 3D coordinates of a thermophilic EF-G, showed differences only in connecting loops.</t>
  </si>
  <si>
    <t>Univ Naples Federico II, Dipartimento Biochim &amp; Biotecnol Med, I-80131 Naples, Italy; Univ Molise, Dipartimento Sci &amp; Tecnol Ambiente &amp; Terr, I-86090 Isernia, Italy; Magna Graecia Univ Catanzaro, Dipartimento Sci Farmacobiol, I-88021 Catanzaro, Italy</t>
  </si>
  <si>
    <t>University of Naples Federico II; University of Molise; Magna Graecia University of Catanzaro</t>
  </si>
  <si>
    <t>Arcari, P (corresponding author), Univ Naples Federico II, Dipartimento Biochim &amp; Biotecnol Med, Via S Pansini 5, I-80131 Naples, Italy.</t>
  </si>
  <si>
    <t>arcari@dbbm.unina.it; masullo@unicz.it</t>
  </si>
  <si>
    <t>Raimo, Gennaro/F-4651-2012; Masullo, Mariorosario/H-4884-2016</t>
  </si>
  <si>
    <t>Raimo, Gennaro/0000-0003-0365-7430; Masullo, Mariorosario/0000-0003-4485-7383</t>
  </si>
  <si>
    <t>10.1007/s00792-007-0088-8</t>
  </si>
  <si>
    <t>205MY</t>
  </si>
  <si>
    <t>WOS:000249119300007</t>
  </si>
  <si>
    <t>Tronelli, D; Maugini, E; Bossa, F; Pascarella, S</t>
  </si>
  <si>
    <t>Tronelli, Daniele; Maugini, Elisa; Bossa, Francesco; Pascarella, Stefano</t>
  </si>
  <si>
    <t>Structural adaptation to low temperatures - analysis of the subunit interface of oligomeric psychrophilic enzymes</t>
  </si>
  <si>
    <t>cold-adapted enzymes; electrostatic and hydrophobic interactions; interface; protein quaternary structure; psychrophiles</t>
  </si>
  <si>
    <t>COLD-ADAPTED ENZYMES; ALTEROMONAS-HALOPLANCTIS; MOLECULAR ADAPTATIONS; ALKALINE-PHOSPHATASE; ANTARCTIC BACTERIUM; PROTEIN STRUCTURES; CRYSTAL-STRUCTURE; NUCLEIC-ACIDS; ALPHA-AMYLASE; DEHYDROGENASE</t>
  </si>
  <si>
    <t>Enzymes from psychrophiles show higher catalytic efficiency in the 0-20 degrees C temperature range and often lower thermostability in comparison with meso/thermophilic homologs. Physical and chemical characterization of these enzymes is currently underway in order to understand the molecular basis of cold adaptation. Psychrophilic enzymes are often characterized by higher flexibility, which allows for better interaction with substrates, and by a lower activation energy requirement in comparison with meso/thermophilic counterparts. In their tertiary structure, psychrophilic enzymes present fewer stabilizing interactions, longer and more hydrophilic loops, higher glycine content, and lower proline and arginine content. In this study, a comparative analysis of the structural characteristics of the interfaces between oligomeric psychrophilic enzyme subunits was carried out. Crystallographic structures of oligomeric psychrophilic enzymes, and their meso/thermophilic homologs belonging to five different protein families, were retrieved from the Protein Data Bank. The following structural parameters were calculated: overall and core interface area, characterization of polar/apolar contributions to the interface, hydrophobic contact area, quantity of ion pairs and hydrogen bonds between monomers, internal area and total volume of non-solvent-exposed cavities at the interface, and average packing of interface residues. These properties were compared to those of meso/thermophilic enzymes. The results were analyzed using Student's t-test. The most significant differences between psychrophilic and mesophilic proteins were found in the number of ion pairs and hydrogen bonds, and in the apolarity of their subunit interface. Interestingly, the number of ion pairs at the interface shows an opposite adaptation to those occurring at the monomer core and surface.</t>
  </si>
  <si>
    <t>Univ Roma La Sapienza, Dipartimento Sci Biochim A Rossi Fanelli, Rome, Italy; Univ Roma La Sapienza, Ctr Interdisciplinary Ric Analisi Modelli &amp; Infor, CISB, Rome, Italy</t>
  </si>
  <si>
    <t>Sapienza University Rome; Sapienza University Rome</t>
  </si>
  <si>
    <t>Pascarella, S (corresponding author), Univ Roma La Sapienza, Dipartimento Sci Biochim, Ple A Moro 5, I-00185 Rome, Italy.</t>
  </si>
  <si>
    <t>Stefano.Pascarella@uniroma1.it</t>
  </si>
  <si>
    <t>10.1111/j.1742-4658.2007.05988.x</t>
  </si>
  <si>
    <t>203GW</t>
  </si>
  <si>
    <t>WOS:000248964100022</t>
  </si>
  <si>
    <t>Walton, David W. H.</t>
  </si>
  <si>
    <t>Lessons from Antarctica: getting science into international law and policy</t>
  </si>
  <si>
    <t>FRONTIERS IN ECOLOGY AND THE ENVIRONMENT</t>
  </si>
  <si>
    <t>Walton, DWH (corresponding author), British Antarctic Survey, High Cross,Madingley Rd, Cambridge CB3 0ET, England.</t>
  </si>
  <si>
    <t>dwhw@bas.ac.uk</t>
  </si>
  <si>
    <t>Walton, David/0000-0002-7103-4043</t>
  </si>
  <si>
    <t>Natural Environment Research Council [bas010011] Funding Source: researchfish; NERC [bas010011] Funding Source: UKRI</t>
  </si>
  <si>
    <t>1540-9295</t>
  </si>
  <si>
    <t>1540-9309</t>
  </si>
  <si>
    <t>FRONT ECOL ENVIRON</t>
  </si>
  <si>
    <t>Front. Ecol. Environ.</t>
  </si>
  <si>
    <t>10.1890/1540-9295(2007)5[388:LFAGSI]2.0.CO;2</t>
  </si>
  <si>
    <t>206OF</t>
  </si>
  <si>
    <t>WOS:000249192100021</t>
  </si>
  <si>
    <t>McTainsh, G; Strong, C</t>
  </si>
  <si>
    <t>McTainsh, Grant; Strong, Craig</t>
  </si>
  <si>
    <t>The role of aeolian dust in ecosystems</t>
  </si>
  <si>
    <t>26th Binghamton Geomorphology Symposium on Geomorphology and Ecosystems</t>
  </si>
  <si>
    <t>Buffalo, NY</t>
  </si>
  <si>
    <t>dust; wind erosion; aeolian processes; dust deposition; biological crusts; nutrient cycling; ecosystem impacts</t>
  </si>
  <si>
    <t>HARMATTAN DUST; WIND EROSION; EXPORT PRODUCTION; SOUTHERN NEVADA; WESTERN NEGEV; SAHARAN DUST; SOIL CRUSTS; IRON; DEPOSITION; TRANSPORT</t>
  </si>
  <si>
    <t>The recent upsurge in research attention to aeolian dust has shown that dust transport systems operate on very large spatial and temporal scales, and involve much larger quantities of sediment than was previously realized. An inevitable consequence of this is that researchers from a range of neighbouring disciplines, including ecology, are beginning to realize that this new knowledge has important implications for their study areas. In the present paper, we examine the ecological implications (real and potential) of this expanding knowledge of dust transport systems, with a particular emphasis upon the Australian dust transport system. We track these ecological effects from source to sink. At source, wind erosion-soil-vegetation relationships are often dominated by temporal changes in rainfall. Nine years of measurements in the Channel Country of the Lake Eyre Basin, Australia show that vegetation and soils in dune fields can recover from drought, whereas on inter-fluve grasslands uni-directional and negative successional vegetation changes can result from wind erosion during drought. On floodplains, both wind erosion and vegetation responses are complicated by flood frequency. Up to 1999 flooding of saline claypans did not increase vegetation but did increase wind erosion through the supply of alluvial fines. However, after three floods within as many months vegetation became established and wind erosion rates were dramatically reduced. Wind erosion research attention is now gradually turning from the physical to the organic content of eroded dusts. In Australia organic matter content can reach 65% by mass, but this cannot be explained by removal of soil organic matter alone. Biological soil crusts not only stabilize soils against wind erosion but contribute to some of the organic dusts. The role of dust as a vector for pathogens is an area which deserves greater research attention in the future. Downwind from source, we show that dust contributions to soils are more widespread and more variable (in time and space) than earlier work on dust-derived loess soils has suggested. Recent studies also show positive dust impacts upon nutrient budgets within distant forest ecosystems, and significant contributions to river nutrient loads, especially in the and sectors of internally draining river basins. The number of studies of dust impacts upon marine ecosystems is increasing dramatically. Studies of dust within Antarctic ice cores combined with dust modelling provide compelling evidence that increased soluble iron-rich dust inputs to the Southern Ocean have stimulated phytoplankton populations. Modem process studies are, however, yet to clearly demonstrate these relationships. Finally we examine the potential for major dust impacts upon global climates, using its positive and negative effects upon solar radiation and precipitation as examples of the complexity and importance of this new research area. (c) 2006 Elsevier B.V. All rights reserved.</t>
  </si>
  <si>
    <t>[McTainsh, Grant; Strong, Craig] Griffith Univ, Fac Environm Sci, Ctr Riverine Landscapes, Brisbane, Qld 4111, Australia</t>
  </si>
  <si>
    <t>Griffith University</t>
  </si>
  <si>
    <t>McTainsh, G (corresponding author), Griffith Univ, Fac Environm Sci, Ctr Riverine Landscapes, Brisbane, Qld 4111, Australia.</t>
  </si>
  <si>
    <t>g.mctainsh@griffith.edu.au</t>
  </si>
  <si>
    <t>Strong, Craig L/A-5235-2012</t>
  </si>
  <si>
    <t>SEP 1</t>
  </si>
  <si>
    <t>10.1016/j.geomorph.2006.07.028</t>
  </si>
  <si>
    <t>244WB</t>
  </si>
  <si>
    <t>WOS:000251894900004</t>
  </si>
  <si>
    <t>Espy, PJ; Stegman, J; Forkman, P; Murtagh, D</t>
  </si>
  <si>
    <t>Espy, P. J.; Stegman, J.; Forkman, P.; Murtagh, D.</t>
  </si>
  <si>
    <t>Seasonal variation in the correlation of airglow temperature and emission rate</t>
  </si>
  <si>
    <t>MESOSPHERIC TEMPERATURE; OH; NIGHTGLOW; OXYGEN; O(S-1); MODEL</t>
  </si>
  <si>
    <t>The hydroxyl ( OH) rotational temperature and band emission rate have been derived using year-round, ground-based measurements of the infrared OH nightglow from Sweden from 1991 to 2002. Recent work has suggested that, during the winter, all scales of dynamical variations of radiance and temperature arise from vertical motions, implying that the effective source concentrations of atomic oxygen are constant. The present data show correlations between temperature and radiance both during winter and summer that are consistent with those observed in that previous work. However, during the transition to summer there is a rapid decrease in the temperature and its variation that is not reflected in the band radiance, suggesting that only the shorter-scale variations are accompanied by significant vertical motion. This indicates that the shorter-scale dynamical variations occur against an independent, seasonally changing background temperature profile in a way that is consistent with that predicted by gravity-wave models.</t>
  </si>
  <si>
    <t>British Antarctic Survey, Natl Environm Res Council, Div Phys Sci, Cambridge CB3 0ET, England; Chalmers, Dept Radio &amp; Space Sci, SE-41296 Gothenburg, Sweden; Stockholm Univ, Dept Meteorol, SE-10691 Stockholm, Sweden</t>
  </si>
  <si>
    <t>UK Research &amp; Innovation (UKRI); Natural Environment Research Council (NERC); NERC British Antarctic Survey; Chalmers University of Technology; Stockholm University</t>
  </si>
  <si>
    <t>Espy, PJ (corresponding author), British Antarctic Survey, Natl Environm Res Council, Div Phys Sci, High Cross,Madingley Rd, Cambridge CB3 0ET, England.</t>
  </si>
  <si>
    <t>/F-8694-2011</t>
  </si>
  <si>
    <t>/0000-0003-1539-3559</t>
  </si>
  <si>
    <t>L17802</t>
  </si>
  <si>
    <t>10.1029/2007GL031034</t>
  </si>
  <si>
    <t>208QR</t>
  </si>
  <si>
    <t>WOS:000249334800006</t>
  </si>
  <si>
    <t>Choe, WH; Lee, JI; Lee, MJ; Do Hur, S; Jin, YK</t>
  </si>
  <si>
    <t>Choe, Won Hie; Lee, Jong Ik; Lee, Mi Jung; Do Hur, Soon; Jin, Young Keun</t>
  </si>
  <si>
    <t>Origin of E-MORB in a fossil spreading center: the Antarctic-Phoenix Ridge, Drake Passage, Antarctica</t>
  </si>
  <si>
    <t>GEOSCIENCES JOURNAL</t>
  </si>
  <si>
    <t>antarctic-Phoenix Ridge; extinction of spreading; E-MORB; low-degree melting; mantle heterogeneity</t>
  </si>
  <si>
    <t>ELEMENT CONSTRAINTS; MANTLE PLUMES; BENEATH; ISOTOPE; PERIDOTITE; BASALT; GENESIS; MARGIN; DEPTH</t>
  </si>
  <si>
    <t>The fossilized Antarctic-Phoenix Ridge (APR) with three segments (PI, P2, and P3), Drake Passage, is distant from the known hotspots, and consists of older N-MORIB formed prior to the extinction of spreading and younger E-MORB after extinction. The older N-MORB (3.5-6.4 Ma) occur in the southeastern flank of the P3 segment (PR3) and the younger E-MORB (1.4-3.1 Ma) comprise a huge seamount at the former ridge axis of the P3 segment (SPR) and a big volcanic edifice at the northwestern flank of the P2 segment (PR2). The PR3 basalts have higher Mg#, K/Ba, and CaO/Al2O3 and lower Zr/Y, Sr, and Na-8.0(fractionation-corrected Na2O to 8.0% MgO) with slight enrichment in incompatible elements and almost flat REE patterns. The SPR and PR2 basalts are highly enriched in incompatible elements and LREE. The extinction of spreading at 3.3 Ma seems to have led to a temporary magma oversupply with E-MORB signatures. Geochernical signatures such as Ba/TiO2, Ba/La, and SmALa suggest the heterogeneity of upper mantle and formation of E-MORB by higher contribution of enriched materials (e.g., metasomatized veins) to mantle melting than the N-MORB environment. E-MORB magmas beneath the APR seem to have been produced by low-degree melting at deeper regime, where enriched materials have preferentially participated in the melting. The occurrence of E-MORB at the APR is a good example to better understand what kinds of magmatism would occur in association with extinction of the ridge spreading.</t>
  </si>
  <si>
    <t>Korea Polar Res Inst, KORDI, Inchon 406840, South Korea; Korea Inst Geosci &amp; Mineral Resources KIGAM, Taejon 305350, South Korea</t>
  </si>
  <si>
    <t>Korea Polar Research Institute (KOPRI); Korea Institute of Ocean Science &amp; Technology (KIOST); Korea Institute of Geoscience &amp; Mineral Resources (KIGAM)</t>
  </si>
  <si>
    <t>Lee, JI (corresponding author), Korea Polar Res Inst, KORDI, Songdo Techno Pk 7-50, Inchon 406840, South Korea.</t>
  </si>
  <si>
    <t>jilee@kopri.re.kr</t>
  </si>
  <si>
    <t>GEOLOGICAL SOCIETY KOREA</t>
  </si>
  <si>
    <t>NEW BLD RM 813, 22, TEHERAN-RO 7-GIL, SEOUL, 06130, SOUTH KOREA</t>
  </si>
  <si>
    <t>1226-4806</t>
  </si>
  <si>
    <t>1598-7477</t>
  </si>
  <si>
    <t>GEOSCI J</t>
  </si>
  <si>
    <t>Geosci. J.</t>
  </si>
  <si>
    <t>10.1007/BF02913932</t>
  </si>
  <si>
    <t>216WI</t>
  </si>
  <si>
    <t>WOS:000249909300001</t>
  </si>
  <si>
    <t>Khim, BK; Kim, D; Shin, HC; Kim, DY</t>
  </si>
  <si>
    <t>Khim, Boo-Keun; Kim, Dongseon; Shin, Hyong Chul; Kim, Dong Yup</t>
  </si>
  <si>
    <t>Particle fluxes and δ15N variation of sinking particles in the central Bransfield Strait (Antarctica)</t>
  </si>
  <si>
    <t>sediment trap; sinking particles; organic carbon; nitrogen isotope; Bransfield Strait; Antarctica</t>
  </si>
  <si>
    <t>SOUTHERN-OCEAN; BIOGENIC SILICA; PHYTOPLANKTON BIOMASS; ISOTOPIC COMPOSITION; ACCUMULATION RATES; ROSS SEA; NITROGEN; SEDIMENTS; GERLACHE; SECTOR</t>
  </si>
  <si>
    <t>Sediment-trap deployment in the central Bransfield Strait during 1999/2000 shows distinct seasonal variation of particle fluxes, in which more than 99% of total annual flux occurred during a limited time. A more positive relationship between biogenic silica and total organic carbon fluxes in the intermediatewater sediment trap demonstrates that the surface-water production (mainly diatoms) played an important role in the supply of biogenic particles during the short period. The low delta N-15 values of particulate organic particles are attributed to high nitrate concentration in the Antarctic surface waters. The gradual increasing delta N-15 values in the bottom-water trap from the productive to unproductive season are likely associated with a switch in source from diatom aggregates to some remains of zooplankton, supplement to the horizontal contribution of lithogenic particles presumably from nearby shallow environment. Thus, the delta N-15 enrichment of sinking particles in the bottom-water trap during December to early February seems to be due to the laterally transported materials, assuming that the delta N-15 values decrease with depth in the Antarctic Polar Frontal region.</t>
  </si>
  <si>
    <t>Pusan Natl Univ, Div Earth Environm Syst, Pusan 609735, South Korea; Ocean Climate &amp; Environm Res Div, KORDI, Ansan 426744, South Korea; Polar Appl Sci Div, KOPRI, Inchon 406840, South Korea</t>
  </si>
  <si>
    <t>Pusan National University; Korea Polar Research Institute (KOPRI)</t>
  </si>
  <si>
    <t>Khim, BK (corresponding author), Pusan Natl Univ, Div Earth Environm Syst, Pusan 609735, South Korea.</t>
  </si>
  <si>
    <t>bkkhim@pusan.ac.kr</t>
  </si>
  <si>
    <t>10.1007/BF02913933</t>
  </si>
  <si>
    <t>WOS:000249909300002</t>
  </si>
  <si>
    <t>Pushcharovsky, YM</t>
  </si>
  <si>
    <t>Pushcharovsky, Yu. M.</t>
  </si>
  <si>
    <t>Tectonic types of deepwater basins in the Indian Ocean</t>
  </si>
  <si>
    <t>GEOTECTONICS</t>
  </si>
  <si>
    <t>CRUST</t>
  </si>
  <si>
    <t>Among 16 deepwater basins located in the central Indian Ocean and along its western, eastern, and southern margins, the central, perioceanic, and perispreading tectonic types are recognized. The Central, Cocos, Wharton, and Crozet basins belong to the first type. The second type comprises the Somalia, Mascarene, Madagascar, Mozambique, and Agulhas basins localized along the western margin of the ocean; the Argo, Gascoyne, Cuvier, and Perth basins that are situated along its eastern periphery; and the African-Antarctic Basin in the southern periphery. The South Australian and Australian-Antarctic basins pertain to the third type. Spatially and tectonically, the pericontinental basins are conjugated with continental blocks in the ocean (rises, plateaus, microcontinents). Together, they make up specific tectonic systems that extend parallel to the continents. The formation of such systems is controlled by horizontal movement of continental blocks and tectonic subsidence of the oceanic bottom.</t>
  </si>
  <si>
    <t>Russian Acad Sci, Geol Inst, Moscow 119017, Russia</t>
  </si>
  <si>
    <t>Geological Institute, Russian Academy of Sciences; Russian Academy of Sciences</t>
  </si>
  <si>
    <t>Pushcharovsky, YM (corresponding author), Russian Acad Sci, Geol Inst, Pyzhevakii Per 7, Moscow 119017, Russia.</t>
  </si>
  <si>
    <t>PLEIADES PUBLISHING INC, MOSCOW, 00000, RUSSIA</t>
  </si>
  <si>
    <t>0016-8521</t>
  </si>
  <si>
    <t>1556-1976</t>
  </si>
  <si>
    <t>GEOTECTONICS+</t>
  </si>
  <si>
    <t>Geotectonics</t>
  </si>
  <si>
    <t>10.1134/S0016852107050020</t>
  </si>
  <si>
    <t>221NX</t>
  </si>
  <si>
    <t>WOS:000250235700002</t>
  </si>
  <si>
    <t>Kanagaratnam, P; Markus, T; Lytle, V; Heavey, B; Jansen, P; Prescott, G; Gogineni, SP</t>
  </si>
  <si>
    <t>Kanagaratnam, Pannirselvam; Markus, Thorsten; Lytle, Victoria; Heavey, Brandon; Jansen, Peter; Prescott, Glenn; Gogineni, Siva Prasad</t>
  </si>
  <si>
    <t>Ultrawideband radar measurements of thickness of snow over sea ice</t>
  </si>
  <si>
    <t>IEEE TRANSACTIONS ON GEOSCIENCE AND REMOTE SENSING</t>
  </si>
  <si>
    <t>Antarctica; FM-CW radar; microwave; sea ice snow; ultrawideband radar</t>
  </si>
  <si>
    <t>MICROWAVE SIGNATURES; VOLUME-SCATTERING; MODEL; SURFACE; WAVE</t>
  </si>
  <si>
    <t>An accurate knowledge of snow thickness and its variability over sea ice is crucial in determining the overall polar heat and freshwater budget, which influences the global climate. Recently, algorithms have been developed to extract snow thicknesses from satellite passive microwave data. However, validation of these data over the large footprint of the passive microwave sensor has been a challenge. The only method used thus far has been with meter sticks during ship cruises. To address this problem, we developed an ultrawideband frequency-modulated continuous-wave radar to measure the snow thickness over sea ice. We synthesized a very linear chirp signal by using a phase-locked loop with a digitally generated chirp signal as a reference to obtain a fine-range resolution. The radar operates over the frequency range from 2-8 GHz. We made snow-thickness measurements over the Antarctic sea ice by operating the radar from a sled in September and October 2003. We performed radar measurements over 11 stations with varying snow thicknesses between 4 and 85 cm. We observed an excellent agreement between radar estimates of snow thickness with physical measurements, achieving a correlation coefficient of 0.95 and a vertical resolution of about 3 cm. Comparison of simulated radar waveforms using a simple transmission line model with the measurements confirms our expectations that echoes from snow-covered sea ice are dominated by reflections from air-snow and snow-ice interfaces.</t>
  </si>
  <si>
    <t>Climate &amp; Cryosphere Program, N-9296 Tromso, Norway; CALTECH, Jet Prop Lab, Pasadena, CA 91109 USA; Australian Govt Antarctic Div, Kingston, Tas, Australia; Univ Kansas, Dept Elect &amp; Comp Engn, Lawrence, KS 66045 USA; NASA, Goddard Space Flight Ctr, Earth Sci Technol Off, Greenbelt, MD 20771 USA; Univ Kansas, Ctr Remote Sensing Ice Sheets, Lawrence, KS 66045 USA</t>
  </si>
  <si>
    <t>California Institute of Technology; National Aeronautics &amp; Space Administration (NASA); NASA Jet Propulsion Laboratory (JPL); Australian Antarctic Division; University of Kansas; National Aeronautics &amp; Space Administration (NASA); NASA Goddard Space Flight Center; University of Kansas</t>
  </si>
  <si>
    <t>Kanagaratnam, P (corresponding author), Climate &amp; Cryosphere Program, N-9296 Tromso, Norway.</t>
  </si>
  <si>
    <t>Kanagaratnam, Pannirselvam/HMU-8754-2023; Markus, Thorsten/D-5365-2012</t>
  </si>
  <si>
    <t>IEEE-INST ELECTRICAL ELECTRONICS ENGINEERS INC</t>
  </si>
  <si>
    <t>PISCATAWAY</t>
  </si>
  <si>
    <t>445 HOES LANE, PISCATAWAY, NJ 08855-4141 USA</t>
  </si>
  <si>
    <t>0196-2892</t>
  </si>
  <si>
    <t>1558-0644</t>
  </si>
  <si>
    <t>IEEE T GEOSCI REMOTE</t>
  </si>
  <si>
    <t>IEEE Trans. Geosci. Remote Sensing</t>
  </si>
  <si>
    <t>10.1109/TGRS.2007.900673</t>
  </si>
  <si>
    <t>Geochemistry &amp; Geophysics; Engineering, Electrical &amp; Electronic; Remote Sensing; Imaging Science &amp; Photographic Technology</t>
  </si>
  <si>
    <t>Geochemistry &amp; Geophysics; Engineering; Remote Sensing; Imaging Science &amp; Photographic Technology</t>
  </si>
  <si>
    <t>205HU</t>
  </si>
  <si>
    <t>WOS:000249105400003</t>
  </si>
  <si>
    <t>Zubakin, GK; Lebedev, AA; Ivanov, VV; Buzin, V; Eide, LI</t>
  </si>
  <si>
    <t>Zubakin, G. K.; Lebedev, A. A.; Ivanov, V. V.; Buzin, V.; Eide, L. I.</t>
  </si>
  <si>
    <t>Conditions for formation of extremely severe ice seasons in northeastern barents sea from early 1950s to present</t>
  </si>
  <si>
    <t>INTERNATIONAL JOURNAL OF OFFSHORE AND POLAR ENGINEERING</t>
  </si>
  <si>
    <t>17th International Offshore and Polar Engineering Conference</t>
  </si>
  <si>
    <t>JUL 01-06, 2007</t>
  </si>
  <si>
    <t>Lisbon, PORTUGAL</t>
  </si>
  <si>
    <t>ice cover; severe ice conditions; criteria; large-scale atmospheric processes; residual ice; heat content</t>
  </si>
  <si>
    <t>Ice cover significantly hinders the development of hydrocarbon deposits in the northeastern Barents Sea shelf. This article presents an analysis of 10 seasons with the most severe ice conditions from the early 1950s to the present. This period is covered by information of good quality, which allows a reliable assessment of ice regime components. Analysis of selected seasons is given, and conditions of their formation are described. The conditions for the formation of extremely severe seasons depend on the development of synoptic processes (stable advection of cold air masses), the presence of residual ice, and the decreased heat content of the water incoming with the Nordcapp Current.</t>
  </si>
  <si>
    <t>Arctic &amp; Antarctic Res Inst, State Inst, St Petersburg 199226, Russia; Hydro Oil &amp; Energy, Oslo, Norway</t>
  </si>
  <si>
    <t>Zubakin, GK (corresponding author), Arctic &amp; Antarctic Res Inst, State Inst, St Petersburg 199226, Russia.</t>
  </si>
  <si>
    <t>INT SOC OFFSHORE POLAR ENGINEERS</t>
  </si>
  <si>
    <t>1053-5381</t>
  </si>
  <si>
    <t>INT J OFFSHORE POLAR</t>
  </si>
  <si>
    <t>Int. J. Offshore Polar Eng.</t>
  </si>
  <si>
    <t>Engineering, Civil; Engineering, Ocean; Engineering, Mechanical</t>
  </si>
  <si>
    <t>210MO</t>
  </si>
  <si>
    <t>WOS:000249460500001</t>
  </si>
  <si>
    <t>Krupina, NA; Kubyshkin, NV</t>
  </si>
  <si>
    <t>Krupina, Nina A.; Kubyshkin, Nickolai V.</t>
  </si>
  <si>
    <t>Flexural strength of drifting level first-year ice in barents sea</t>
  </si>
  <si>
    <t>flexural ice strength; cantilever beam test; disc test; ice temperature; ice salinity; ice density; ice porosity</t>
  </si>
  <si>
    <t>The Arctic and Antarctic Research Institute (AARI) has performed ice research work in the Barents Sea during the last 10 years (1996-2006). In the course of this work, a great amount of material was collected on the flexural strength of drifting first-year sea ice through 138 cantilever beam tests and many tests of small discs. This paper presents the results of data analysis for level ice; this analysis was performed separately for the southeastern and northeastern regions of the Barents Sea. The influence of different ice characteristics exerted on flexural strength is studied (temperature, salinity, brine volume, etc.). We analyzed the relation between the full-scale flexural strength of the ice cover as determined by the results of the cantilever tests, and the strength corresponding to the tests of small specimens. While the cantilever tests cut out of the entire ice thickness are the most reliable method of ice flexural strength determination, these experiments are the most labor-intensive, so the trial was made to obtain empirical relations between the physical properties of ice, the strength of small specimens and the full-scale flexural strength of level ice.</t>
  </si>
  <si>
    <t>Krupina, NA (corresponding author), Arctic &amp; Antarctic Res Inst, St Petersburg 199226, Russia.</t>
  </si>
  <si>
    <t>Krupina, Nataliya A./M-3467-2014</t>
  </si>
  <si>
    <t>Krupina, Nataliya A./0000-0002-2462-899X; Krupina, Nina/0000-0002-3043-5713</t>
  </si>
  <si>
    <t>WOS:000249460500002</t>
  </si>
  <si>
    <t>Hermsen, E; Taylor, TN; Taylor, EL; Stevensony, DW</t>
  </si>
  <si>
    <t>Hermsen, Elizabeth; Taylor, Thomas N.; Taylor, Edith L.; Stevensony, Dennis W.</t>
  </si>
  <si>
    <t>Cycads from the Triassic of Antarctica: Permineralized cycad leaves</t>
  </si>
  <si>
    <t>INTERNATIONAL JOURNAL OF PLANT SCIENCES</t>
  </si>
  <si>
    <t>Antarctica; Cycadales; Fremouw Formation; leaf; Triassic; Yelchophyllum</t>
  </si>
  <si>
    <t>SEED PLANT PHYLOGENY; DISCINITES NOEGGERATHIALES; TAENIOPTERID LAMINA; EXTANT GYMNOSPERMS; GEN-NOV; ORIGIN; GNETALES; CYCADOPSIDA; MOUNTAINS; EVOLUTION</t>
  </si>
  <si>
    <t>Permineralized cycad petioles and/ or rachides with associated pinnae are described from two Triassic localities in the Queen Alexandria Range, central Transantarctic Mountains, Antarctica. Petiole- rachides display an inverted- omega- shaped arrangement of vascular bundles typical of most genera of extant Cycadales and exarch primary xylem that link them to the modern order. Pinnae associated with the Antarctic petiolerachides are thin, with regularly spaced vascular bundles. They are similar to those of extant Zamia and most other genera of extant Cycadales, whose pinnae lack midribs. Other Mesozoic fossil cycads ( e. g., Charmorgia, Lyssoxylon, Lioxylon) have endarch petiole vascular bundles that in some cases were previously considered more similar to those of Bennettitales than those of Cycadales. We suggest, however, that the endarch xylem of these taxa is typical of Cycadales because in extant cycads, the protoxylem changes from endarch to exarch within the base of the petiole. Evolution of cycad leaf form is reviewed based on evidence from the fossil record.</t>
  </si>
  <si>
    <t>Univ Kansas, Dept Ecol &amp; Evolut Biol, Lawrence, KS 66045 USA; Univ Kansas, Nat Hist Museum, Lawrence, KS 66045 USA; Univ Kansas, Biodivers Res Ctr, Lawrence, KS 66045 USA; New York Bot Garden, Bronx, NY 10458 USA</t>
  </si>
  <si>
    <t>University of Kansas; University of Kansas; University of Kansas; New York Botanical Garden</t>
  </si>
  <si>
    <t>Hermsen, E (corresponding author), Univ Kansas, Dept Ecol &amp; Evolut Biol, Lawrence, KS 66045 USA.</t>
  </si>
  <si>
    <t>ehermsen@ku.edu</t>
  </si>
  <si>
    <t>Hermsen, Elizabeth/0000-0003-2666-4385</t>
  </si>
  <si>
    <t>UNIV CHICAGO PRESS</t>
  </si>
  <si>
    <t>CHICAGO</t>
  </si>
  <si>
    <t>1427 E 60TH ST, CHICAGO, IL 60637-2954 USA</t>
  </si>
  <si>
    <t>1058-5893</t>
  </si>
  <si>
    <t>1537-5315</t>
  </si>
  <si>
    <t>INT J PLANT SCI</t>
  </si>
  <si>
    <t>Int. J. Plant Sci.</t>
  </si>
  <si>
    <t>10.1086/518840</t>
  </si>
  <si>
    <t>204VZ</t>
  </si>
  <si>
    <t>WOS:000249073400012</t>
  </si>
  <si>
    <t>Florczak, T; Makowski, K; Turkiewicz, M</t>
  </si>
  <si>
    <t>Florczak, Tomasz; Makowski, Krzysztof; Turkiewicz, Marianna</t>
  </si>
  <si>
    <t>The cold-adapted lipase of an Antarctic fungus Beauveria sp P7 as an effective catalyst of enantioselective 1-phenylethanol trasesterification</t>
  </si>
  <si>
    <t>JOURNAL OF BIOTECHNOLOGY</t>
  </si>
  <si>
    <t>13th European Congress on Biotechnology (ECB 13)</t>
  </si>
  <si>
    <t>SEP 16-19, 2007</t>
  </si>
  <si>
    <t>Barcelona, SPAIN</t>
  </si>
  <si>
    <t>Tech Univ Lodz, IBT, PL-90924 Lodz, Poland</t>
  </si>
  <si>
    <t>tofman@op.pl</t>
  </si>
  <si>
    <t>0168-1656</t>
  </si>
  <si>
    <t>1873-4863</t>
  </si>
  <si>
    <t>J BIOTECHNOL</t>
  </si>
  <si>
    <t>J. Biotechnol.</t>
  </si>
  <si>
    <t>S89</t>
  </si>
  <si>
    <t>S90</t>
  </si>
  <si>
    <t>10.1016/j.jbiotec.2007.07.154</t>
  </si>
  <si>
    <t>213SJ</t>
  </si>
  <si>
    <t>WOS:000249687100143</t>
  </si>
  <si>
    <t>Bonadonna, F; Miguel, E; Grosbois, V; Jouventin, P; Bessiere, JM</t>
  </si>
  <si>
    <t>Bonadonna, Francesco; Miguel, Eve; Grosbois, Vladimir; Jouventin, Pierre; Bessiere, Jean-Marie</t>
  </si>
  <si>
    <t>Individual odor recognition in birds: An endogenous olfactory signature on petrels' feathers?</t>
  </si>
  <si>
    <t>JOURNAL OF CHEMICAL ECOLOGY</t>
  </si>
  <si>
    <t>procellariiform; seabird; antarctic; petrel; olfaction; odor recognition</t>
  </si>
  <si>
    <t>MAMMALIAN EXOCRINE SECRETIONS; VOLATILE; DISCRIMINATION; CONSTITUENTS; MECHANISM; PROFILES</t>
  </si>
  <si>
    <t>A growing body of evidence indicates that odors are used in individual, sexual, and species recognition in vertebrates, and may be reliable signals of quality and compatibility. Petrels are seabirds that exhibit an acute sense of smell. During the breeding period, many species of petrel live in dense colonies on small oceanic islands and form pairs that use individual underground burrows. Mates alternate between parental duties and foraging trips at sea. Returning from the ocean at night (to avoid bird predators), petrels must find their nest burrow. Antarctic prions, Pachyptila desolata, are thought to identify their nest by recognizing their partner's odor, suggesting the existence of an individual odor signature. We used gas chromatography and mass spectrometry to analyze extracts obtained from the feathers of 13 birds. The chemical profile of a single bird was more similar to itself, from year to year, than to that of any other bird. The profile contained up to a hundred volatile lipids, but the odor signature may be based on the presence or absence of a few specific compounds. Our results show that the odor signature in Antarctic prions is probably endogenous, suggesting that in some species of petrels it may broadcast compatibility and quality of potential mates.</t>
  </si>
  <si>
    <t>CNRS, CEFE, Grp Ecol Comportemantale, F-34093 Montpellier, France; CNRS, CEFE, F-34093 Montpellier, France</t>
  </si>
  <si>
    <t>Universite PSL; Ecole Pratique des Hautes Etudes (EPHE); Institut Agro; Montpellier SupAgro; CIRAD; Centre National de la Recherche Scientifique (CNRS); Institut de Recherche pour le Developpement (IRD); Universite Paul-Valery; Universite de Montpellier; Universite PSL; Ecole Pratique des Hautes Etudes (EPHE); Institut Agro; Montpellier SupAgro; CIRAD; Centre National de la Recherche Scientifique (CNRS); Institut de Recherche pour le Developpement (IRD); Universite Paul-Valery; Universite de Montpellier</t>
  </si>
  <si>
    <t>Bonadonna, F (corresponding author), CNRS, CEFE, Grp Ecol Comportemantale, 1919 Route Mende, F-34093 Montpellier, France.</t>
  </si>
  <si>
    <t>francesco.bonadonna@cefe.cnrs.fr</t>
  </si>
  <si>
    <t>Bonadonna, Francesco/A-7456-2008</t>
  </si>
  <si>
    <t>Bonadonna, Francesco/0000-0002-2702-5801</t>
  </si>
  <si>
    <t>0098-0331</t>
  </si>
  <si>
    <t>1573-1561</t>
  </si>
  <si>
    <t>J CHEM ECOL</t>
  </si>
  <si>
    <t>J. Chem. Ecol.</t>
  </si>
  <si>
    <t>10.1007/s10886-007-9345-7</t>
  </si>
  <si>
    <t>Biochemistry &amp; Molecular Biology; Ecology</t>
  </si>
  <si>
    <t>Biochemistry &amp; Molecular Biology; Environmental Sciences &amp; Ecology</t>
  </si>
  <si>
    <t>210HF</t>
  </si>
  <si>
    <t>WOS:000249446600014</t>
  </si>
  <si>
    <t>Dong, S; Gille, ST; Sprintall, J</t>
  </si>
  <si>
    <t>Dong, Shenfu; Gille, Sarah T.; Sprintall, Janet</t>
  </si>
  <si>
    <t>An assessment of the Southern Ocean mixed layer heat budget</t>
  </si>
  <si>
    <t>ANTARCTIC CIRCUMPOLAR CURRENT; AIR-SEA FLUXES; SATELLITE MEASUREMENTS; CIRCULATION; VARIABILITY; WATER; MASS; TRANSPORT; STORAGE; REGION</t>
  </si>
  <si>
    <t>The mixed layer heat balance in the Southern Ocean is examined by combining remotely sensed measurements and in situ observations from 1 June 2002 to 31 May 2006, coinciding with the period during which Advanced Microwave Scanning Radiometer-Earth Observing System (EOS) (AMSR-E) sea surface temperature measurements are available. Temperature/salinity profiles from Argo floats are used to derive the mixed layer depth. All terms in the heat budget are estimated directly from available data. The domain-averaged terms of oceanic heat advection, entrainment, diffusion, and air-sea flux are largely consistent with the evolution of the mixed layer temperature. The mixed layer temperature undergoes a strong seasonal cycle, which is largely attributed to the air-sea heat fluxes. Entrainment plays a secondary role. Oceanic advection also experiences a seasonal cycle, although it is relatively weak. Most of the seasonal variations in the advection term come from the Ekman advection, in contrast with western boundary current regions where geostrophic advection controls the total advection. Substantial imbalances exist in the regional heat budgets, especially near the northern boundary of the Antarctic Circumpolar Current. The biggest contributor to the surface heat budget error is thought to be the air-sea heat fluxes, because only limited Southern Hemisphere data are available for the reanalysis products, and hence these fluxes have large uncertainties. In particular, the lack of in situ measurements during winter is of fundamental concern. Sensitivity tests suggest that a proper representation of the mixed layer depth is important to close the budget. Salinity influences the stratification in the Southern Ocean; temperature alone provides an imperfect estimate of mixed layer depth and, because of this, also an imperfect estimate of the temperature of water entrained into the mixed layer from below.</t>
  </si>
  <si>
    <t>Univ Calif San Diego, Scripps Inst Oceanog, La Jolla, CA 92093 USA</t>
  </si>
  <si>
    <t>Dong, S (corresponding author), Univ Calif San Diego, Scripps Inst Oceanog, 9500 Giman Dr, La Jolla, CA 92093 USA.</t>
  </si>
  <si>
    <t>shenfu.dong@noaa.gov</t>
  </si>
  <si>
    <t>Gille, Sarah T./B-3171-2012; Dong, Shenfu/I-4435-2013</t>
  </si>
  <si>
    <t>Dong, Shenfu/0000-0001-8247-8072; Gille, Sarah/0000-0001-9144-4368</t>
  </si>
  <si>
    <t>10.1175/JCLI4259.1</t>
  </si>
  <si>
    <t>207FT</t>
  </si>
  <si>
    <t>WOS:000249237700007</t>
  </si>
  <si>
    <t>Shin, SH; Ha, KJ</t>
  </si>
  <si>
    <t>Shin, Sun-Hee; Ha, Kyung-Ja</t>
  </si>
  <si>
    <t>Effects of spatial and temporal variations in PBL depth on a GCM</t>
  </si>
  <si>
    <t>NOCTURNAL BOUNDARY-LAYER; MODEL; DIFFUSION; IMPACT</t>
  </si>
  <si>
    <t>The effect of variations in planetary boundary layer (PBL) height on a GCM was investigated using the Yonsei University (YONU) AGCM. This GCM assumes a convective boundary layer constrained to the two lowest model levels. As a consequence of this fixed PBL height, the model tends to produce excessive mixing. In this study the authors focuse on the impact of spatially and temporally varying PBL height. In addition to stability-dependent eddy diffusivity, the model adopts both bulk mixing due to the surface heat flux and z-less mixing under stable conditions. The variable-depth PBL strongly suppressed excessive mixing so that the model bias was reduced over stable regions such as the Antarctic continent. On the other hand, vertical mixing over continents in the summer hemisphere was stronger than for the fixed-PBL version, resulting in greater rising motion and warming effects in the lower atmosphere. The variable-PBL height reduces excess precipitation over the western Pacific and East Asian monsoon region. Based on the improved PBL parameterization, widespread decreases in surface sensible heat flux and rising motion in the lower troposphere occurred simultaneously over the East Asian continent. This implies that simulation is very sensitive to PBL processes.</t>
  </si>
  <si>
    <t>Pusan Natl Univ, Coll Nat Sci, Div Environm Syst, Pusan, South Korea</t>
  </si>
  <si>
    <t>Pusan National University</t>
  </si>
  <si>
    <t>Ha, KJ (corresponding author), Pusan Natl Univ, Coll Nat Sci, Div Environm Syst, Pusan, South Korea.</t>
  </si>
  <si>
    <t>kjha@pusan.ac.kr</t>
  </si>
  <si>
    <t>Ha, Kyung-Ja/D-7584-2018</t>
  </si>
  <si>
    <t>Ha, Kyung-Ja/0000-0003-1753-9304</t>
  </si>
  <si>
    <t>10.1175/JCLI4274.1</t>
  </si>
  <si>
    <t>216NU</t>
  </si>
  <si>
    <t>WOS:000249885700013</t>
  </si>
  <si>
    <t>Bennett, KA; Speakman, JR; Moss, SEW; Pomeroy, P; Fedak, MA</t>
  </si>
  <si>
    <t>Bennett, Kimberley A.; Speakman, John R.; Moss, Simon E. W.; Pomeroy, Paddy; Fedak, Mike A.</t>
  </si>
  <si>
    <t>Effects of mass and body composition on fasting fuel utilisation in grey seal pups (Halichoerus grypus Fabricius):: an experimental study using supplementary feeding</t>
  </si>
  <si>
    <t>protein depletion; fat reserves; energy use; fuel allocation; energy partitioning; first year survival</t>
  </si>
  <si>
    <t>NORTHERN ELEPHANT SEAL; HYDROGEN ISOTOPE-DILUTION; DOUBLY-LABELED WATER; ANTARCTIC FUR SEALS; GRAY SEAL; ENERGY-EXPENDITURE; MIROUNGA-LEONINA; PROTEIN CATABOLISM; POSTWEANING FAST; LIFE-HISTORY</t>
  </si>
  <si>
    <t>This study used supplementary feeding to test the hypothesis that fuel partitioning during the postweaning fast in grey seal pups is affected by size and composition of energy reserves at weaning, and by extra provisioning. Mass and body composition changes were measured during suckling and fasting to investigate the effect of natural differences in energy reserves at weaning on subsequent allocation of fat and protein to energy use. We fed seven pups for 5 days after weaning, to investigate the effect of increased fuel availability, and particularly protein, on fuel utilisation. After correcting for protein used during the moult, the proportional contribution of fat was 86 - 99% of total energy use. Pups with greater energy reserves, i. e. those that were heavier and fatter at weaning, had higher rates of fat and energy use. There was no significant relationship between adiposity at weaning and proportional contribution of fat to energy use, perhaps due to a limited sample size or range of body masses and adiposity. Supplemented individuals used energy, specifically fat, much faster and utilised proportionally less of their endogenous protein by departure than non-supplemented individuals. Fat metabolism contributed a similar percentage to daily energy use in both groups. These findings show that pups spare protein, even when energy use is dramatically increased. Pups that receive greater maternal provisioning and lay down more protein may have increased survival chances at sea. This study highlights the importance of protein reserves in first year survival of grey seal pups.</t>
  </si>
  <si>
    <t>Univ St Andrews, NERC, Gatty Marine Lab, Sea Mammal Res Unit, St Andrews KY16 9AJ, Fife, Scotland; Univ Aberdeen, Sch Biol Sci, Aberdeen AB24 2TZ, Scotland</t>
  </si>
  <si>
    <t>University of St Andrews; UK Research &amp; Innovation (UKRI); Natural Environment Research Council (NERC); University of Aberdeen</t>
  </si>
  <si>
    <t>Bennett, KA (corresponding author), Univ St Andrews, NERC, Gatty Marine Lab, Sea Mammal Res Unit, St Andrews KY16 9AJ, Fife, Scotland.</t>
  </si>
  <si>
    <t>k.a.bennett@dundee.ac.uk</t>
  </si>
  <si>
    <t>John, Speakman R/A-9494-2008; pomeroy, patrick p/C-1597-2010; Bennett, Kimberley/O-9142-2016; Fedak, Michael/B-3987-2009</t>
  </si>
  <si>
    <t>Bennett, Kimberley/0000-0003-2168-6112; pomeroy, patrick/0000-0003-1603-5630; Fedak, Michael/0000-0002-9569-1128</t>
  </si>
  <si>
    <t>COMPANY OF BIOLOGISTS LTD</t>
  </si>
  <si>
    <t>BIDDER BUILDING CAMBRIDGE COMMERCIAL PARK COWLEY RD, CAMBRIDGE CB4 4DL, CAMBS, ENGLAND</t>
  </si>
  <si>
    <t>10.1242/jeb.009381</t>
  </si>
  <si>
    <t>211IK</t>
  </si>
  <si>
    <t>WOS:000249517300019</t>
  </si>
  <si>
    <t>Franklin, CE; Davison, W; Seebacher, F</t>
  </si>
  <si>
    <t>Franklin, Craig E.; Davison, William; Seebacher, Frank</t>
  </si>
  <si>
    <t>Antarctic fish can compensate for rising temperatures:: thermal acclimation of cardiac performance in Pagothenia borchgrevinki</t>
  </si>
  <si>
    <t>fish; Antarctica; cardiac output; heart; specialist; acclimation; thermal plasticity; chronotropic</t>
  </si>
  <si>
    <t>PERFUSED TROUT HEART; COD GADUS-MORHUA; RAINBOW-TROUT; ONCORHYNCHUS-MYKISS; WATER TEMPERATURES; BLOOD-PRESSURE; EVOLUTION; RESPONSES; EXERCISE; MECHANISMS</t>
  </si>
  <si>
    <t>Antarctic fish Pagothenia borchgrevinki in McMurdo Sound, Antarctica, inhabit one of the coldest and most thermally stable of all environments. Sea temperatures under the sea ice in this region remain a fairly constant -1.86 degrees C year round. This study examined the thermal plasticity of cardiac function in P. borchgrevinki to determine whether specialisation to stable low temperatures has led to the loss of the ability to acclimate physiological function. Fish were acclimated to - 1 degrees C and 4 degrees C for 4 - 5 weeks and cardiac output was measured at rest and after exhaustive exercise in fish acutely transferred from their acclimation temperature to - 1, 2, 4, 6 and 8 degrees C. In the - 1 degrees C acclimated fish, the factorial scope for cardiac output was greatest at - 1 degrees C and decreased with increasing temperature. Increases in cardiac output with exercise in the - 1 degrees C acclimated fish was achieved by increases in both heart rate and stroke volume. With acclimation to 4 degrees C, resting cardiac output was thermally independent across the test temperatures; furthermore, factorial scope for cardiac output was maintained at 4, 6 and 8 degrees C, demonstrating thermal compensation of cardiac function at the higher temperatures. This was at the expense of cardiac function at - 1 degrees C, where there was a significant decrease in factorial scope for cardiac output in the 4 degrees C acclimated fish. Increases in cardiac output with exercise in the 4 degrees C acclimated fish at the higher temperatures was achieved by changes in heart rate alone, with stroke volume not varying between rest and exercise. The thermal compensation of cardiac function in P. borchgrevinki at higher temperatures was the result of a change in pumping strategy from a mixed inotropic/chronotropic modulated heart in - 1 degrees C acclimated fish at low temperatures to a purely chronotropic modulated heart in the 4 degrees C acclimated fish at higher temperatures. In spite of living in a highly stenothermal cold environment, P. borchgrevinki demonstrated the capacity to thermally acclimate cardiac function to elevated temperatures, thereby allowing the maintenance of factorial scope and the support of aerobic swimming at higher temperatures.</t>
  </si>
  <si>
    <t>Univ Queensland, Grad Sch Integrated Biol, St Lucia, Qld 4072, Australia; Univ Canterbury, Sch Biol Sci, Christchurch, New Zealand; Univ Sydney, Sch Biol Sci, Sydney, NSW 2006, Australia</t>
  </si>
  <si>
    <t>University of Queensland; University of Canterbury; University of Sydney</t>
  </si>
  <si>
    <t>Franklin, CE (corresponding author), Univ Queensland, Grad Sch Integrated Biol, St Lucia, Qld 4072, Australia.</t>
  </si>
  <si>
    <t>c.franklin@uq.edu.au</t>
  </si>
  <si>
    <t>Franklin, Craig/G-7343-2012</t>
  </si>
  <si>
    <t>Franklin, Craig/0000-0003-1315-3797; Seebacher, Frank/0000-0002-2281-9311</t>
  </si>
  <si>
    <t>10.1242/jeb.003137</t>
  </si>
  <si>
    <t>WOS:000249517300021</t>
  </si>
  <si>
    <t>Pears, RJ; Choat, JH; Mapstone, BD; Begg, GA</t>
  </si>
  <si>
    <t>Pears, R. J.; Choat, J. H.; Mapstone, B. D.; Begg, G. A.</t>
  </si>
  <si>
    <t>Reproductive biology of a large, aggregation-spawning serranid, Epinephelus fuscoguttatus (Forsskal):: management implications</t>
  </si>
  <si>
    <t>grouper; protogynous hermaphroditism; reef fisheries management; sexual pattern; spawning aggregation; spawning season</t>
  </si>
  <si>
    <t>GREAT-BARRIER-REEF; COD GADUS-MORHUA; PLECTROPOMUS-LEOPARDUS; SEX-CHANGE; CAMOUFLAGE GROUPER; FISHERY MANAGEMENT; CORAL-REEF; RED HIND; AUSTRALIA; PISCES</t>
  </si>
  <si>
    <t>The reproductive biology of Great Barrier Reef populations of the long-lived grouper Epinephelus fuscoguttatus (brown-marbled grouper or flowery cod) was investigated using histological analyses. Evidence provided by gonad morphology and age-based demographics suggested monandric protogynous hermaphroditism. Younger age groups contained only immature and mature females, and all males were above the size and age of 100% female maturity, consistent with secondary males derived from mature females by adult sex change. Fishing records confirmed that spawning aggregations of this species and the co-occurring Epinephelus polyphekadion (camouflage grouper) are sometimes targeted on the Great Barrier Reef. Sampling data revealed strong spawning seasonality for E. fuscoguttatus, with a relatively narrow annual spawning period (November to January). The temporal pattern of reproductive activity within the spawning period, based on occurrence of near spawning ovaries (containing hydrated oocytes), indicated spawning events may occur throughout much of the lunar cycle and only partly coincide with seasonal fishing closure periods on the Great Barrier Reef. The results indicate that protection would be enhanced by a longer seasonal closure. (C) 2007 The Authors. Journal compilation (C) 2007 The Fisheries Society of the British Isles.</t>
  </si>
  <si>
    <t>James Cook Univ N Queensland, Sch Marine &amp; Trop Biol, Townsville, Qld 4810, Australia; Univ Tasmania, Antarctic Climate &amp; Ecosyst CRC, Hobart, Tas 7001, Australia; Canberra Business Ctr, Act 2610, Australia</t>
  </si>
  <si>
    <t>James Cook University; University of Tasmania</t>
  </si>
  <si>
    <t>Pears, RJ (corresponding author), POB 1859, Townsville, Qld 4810, Australia.</t>
  </si>
  <si>
    <t>rachel.pears@jcu.edu.au</t>
  </si>
  <si>
    <t>Pears, Rachel/0000-0001-8092-0365</t>
  </si>
  <si>
    <t>10.1111/j.1095-8649.2007.01545.x</t>
  </si>
  <si>
    <t>206FK</t>
  </si>
  <si>
    <t>WOS:000249169100011</t>
  </si>
  <si>
    <t>Smith, KS</t>
  </si>
  <si>
    <t>Smith, K. Shafer</t>
  </si>
  <si>
    <t>The geography of linear baroclinic instability in Earth's oceans</t>
  </si>
  <si>
    <t>JOURNAL OF MARINE RESEARCH</t>
  </si>
  <si>
    <t>BETA-PLANE; MEAN FLOW; ENERGY; STABILITY; EDDIES; VARIABILITY; ATMOSPHERE; CIRCULATION; TROPOPAUSE; TURBULENCE</t>
  </si>
  <si>
    <t>Satellite observations reveal a mesoscale oceanic circulation dominated by turbulence that is correlated, in most cases, with local baroclinicity. Linear baroclinic instability theory has proved useful in understanding the time and space scales of atmospheric eddies. The question addressed here is, to what degree can the observed oceanic eddy activity be understood through a local, linear stability analysis? This question is addressed as follows. A local quasigeostrophic linear stability calculation is performed on a grid of wavenumbers, ranging in magnitude about the local deformation wavenumber, for each vertical profile in a dataset of neutral density for the world's oceans. The initial results show that nearly the entire ocean is unstable, but in many places, particularly in low latitudes, the instability is dominated by surface intensified modes, resulting in very small-scale., quickly growing waves. At higher latitudes, the primary instabilities are due to thermocline depth shears and have a broader vertical structure. For each unstable wave, at each location, the mean-to-eddy energy conversion rate is also calculated and used to select the growing waves that are both fast and have significant energetic conversion potential. This procedure removes most of the surface-instabilities, which cannot lead to significant energy conversion, and reveals the slower but more powerful thermocline-level instabilities where they exist. The time and space scales of these growing waves are compared to estimates of the Eady growth rate and deformation scale, respectively. It is found that while the timescale is well-approximated by the Eady-estimate, the spatial scales are uniformly smaller than the deformation scale, typically by a factor of 4. The zonally averaged spatial scales are then compared to observed eddy scales. The spatial scales of maximum growth are everywhere significantly smaller than the observed eddy scales. In the Antarctic Circumpolar Current, for example, the scale of maximum growth is about 5 km, much smaller than the observed eddy scales, estimates of which range from 30-100 km. A possible, and unsurprising conclusion is that the observed eddy scales are the result of an inverse cascade, and cannot be understood by linear theory alone.</t>
  </si>
  <si>
    <t>[Smith, K. Shafer] NYU, Courant Inst Math Sci, New York, NY 10012 USA; [Smith, K. Shafer] NYU, Ctr Atmosphere Ocean Sci, New York, NY 10012 USA</t>
  </si>
  <si>
    <t>New York University; New York University</t>
  </si>
  <si>
    <t>Smith, KS (corresponding author), NYU, Courant Inst Math Sci, 251 Mercer St, New York, NY 10012 USA.</t>
  </si>
  <si>
    <t>shafer@cims.nyu.edu</t>
  </si>
  <si>
    <t>Smith, Kendall/A-4581-2017</t>
  </si>
  <si>
    <t>Smith, Kendall/0000-0003-0740-3067</t>
  </si>
  <si>
    <t>SEARS FOUNDATION MARINE RESEARCH</t>
  </si>
  <si>
    <t>NEW HAVEN</t>
  </si>
  <si>
    <t>YALE UNIV, KLINE GEOLOGY LAB, 210 WHITNEY AVENUE, NEW HAVEN, CT 06520-8109 USA</t>
  </si>
  <si>
    <t>0022-2402</t>
  </si>
  <si>
    <t>1543-9542</t>
  </si>
  <si>
    <t>J MAR RES</t>
  </si>
  <si>
    <t>J. Mar. Res.</t>
  </si>
  <si>
    <t>10.1357/002224007783649484</t>
  </si>
  <si>
    <t>268AK</t>
  </si>
  <si>
    <t>WOS:000253550100004</t>
  </si>
  <si>
    <t>Walsh, D; Polyakov, I; Timokhov, L; Carmack, E</t>
  </si>
  <si>
    <t>Walsh, David; Polyakov, Igor; Timokhov, Leonid; Carmack, Eddy</t>
  </si>
  <si>
    <t>Thermohaline structure and variability in the eastern Nansen Basin as seen from historical data</t>
  </si>
  <si>
    <t>OCEAN BOUNDARY CURRENT; ARCTIC-OCEAN; SEA-ICE; ATLANTIC WATER; FRAM STRAIT; FRESH-WATER; HALOCLINE; TEMPERATURE; NORTH; HEAT</t>
  </si>
  <si>
    <t>Newly available historical Russian data are used to quantify year-to-year variations in the structure and properties of the halocline and Atlantic Water layers in the eastern Nansen Basin. The data come from a series of aerial surveys of the central Arctic Ocean done during winter between 1973 and 1979, and repeated Polygon surveys of the shelf, slope, and basin north of Severnaya Zemlya in the 1980s, and thus allow a perspective oil shelf-basin exchange. A water-mass census shows substantial survey-to-survey variability in several water-mass categories, with volumetric fluctuations of similar to 17% in the Upper Polar Deep Water category, similar to 14% in Atlantic Water, and similar to 39% for cold surface waters with T &lt; -1.5 degrees C. Mean water-mass production rates in the Polygon area are found to be 0.6-1.2 Sv for Upper Polar Deep Water, and an effective loss rate of 0.75-1.5 Sv is found for Atlantic Waters. On average Atlantic Water loses 16% of its initial heat content within the 350 km-long survey area, possibly enhanced by double-diffusive processes. Mean upward heat fluxes above the Atlantic Water are estimated to be between 4 and 6 W/m(2), based on heat budget considerations. Upward heat fluxes of this magnitude would have a major effect on sea ice, which is regularly observed to be thinner in this area of the Nansen Basin. Shallow-water profiles taken close to Severnaya Zemlya show cold and salty waters denser than offshore waters at similar depths, and evidence of convection is seen in many profiles taken over the continental shelf and slope, reflecting deep convective events extending in some cases below the deepest observed depth of 1000 m.</t>
  </si>
  <si>
    <t>[Walsh, David] NOAA, Pacific Tsunami Warning Ctr, Ewa Beach, HI 96706 USA; [Polyakov, Igor] Univ Alaska, Int Arct Res Ctr, Fairbanks, AK 99775 USA; [Timokhov, Leonid] Arctic &amp; Antarctic Res Inst, St Petersburg 199226, Russia; [Carmack, Eddy] Fisheries Oceans Canada Inst Ocean Sci, Sidney, BC V8L 4B2, Canada</t>
  </si>
  <si>
    <t>National Oceanic Atmospheric Admin (NOAA) - USA; University of Alaska System; University of Alaska Fairbanks; Arctic &amp; Antarctic Research Institute; Fisheries &amp; Oceans Canada</t>
  </si>
  <si>
    <t>Walsh, D (corresponding author), NOAA, Pacific Tsunami Warning Ctr, 91-270 Ft Weaver Rd, Ewa Beach, HI 96706 USA.</t>
  </si>
  <si>
    <t>david.walsh@izoaa.gov</t>
  </si>
  <si>
    <t>10.1357/002224007783649466</t>
  </si>
  <si>
    <t>WOS:000253550100005</t>
  </si>
  <si>
    <t>Lee; Kiyoung; Lee, HK; Choi, TH; Kim, KMT; Cho, JC</t>
  </si>
  <si>
    <t>Lee; Kiyoung; Lee, Hong Kum; Choi, Tae-Hwan; Kim, Kyung-M. T.; Cho, Jang-Creon</t>
  </si>
  <si>
    <t>Granulosicoccaceae fam nov, to include Granulosicoccus antarcticus gen nov, sp nov, a non-phototrophic, obligately aerobic chemoheterotroph in the order Chromatiales, isolated from antarctic Seawater</t>
  </si>
  <si>
    <t>JOURNAL OF MICROBIOLOGY AND BIOTECHNOLOGY</t>
  </si>
  <si>
    <t>family Granulosicoccaceae; Granulosicoccus antarclicus; marine bacterium; Antarctic; 16S rRNA gene</t>
  </si>
  <si>
    <t>SULFUR-OXIDIZING BACTERIA; GROWTH; RECLASSIFICATION</t>
  </si>
  <si>
    <t>A Gram-negative, motile by tuft flagella, obligately aerobic chemoorganoheterotrophic, sphere-form bacterium, designated IMCC3135(T), was isolated from the Antarctic surface seawater of King George Island, West Antarctica. The strain was mesophilic, neutrophilic, and requiring NaCl for growth, but neither halophilic nor halotolerant. The 16S rRNA gene sequence analysis indicated that the strain was most closely related to genera of the order Chromatiales in the class Gammaproteobacteria. The most closely related genera showed less than 90% 16S rRNA gene sequence similarity and included Thioalkalispira (89.9%), Thioalkalivibrio (88.0%-89.5%), Ectothiorhodospira (87.9%-893%), Chromatium (88.3%-88.9%), and Lamprocystis (87.7%-88.9%), which represent three different families of the order Chromatiales. Phylogenetic analyses showed that this Antarctic strain represented a distinct phylogenetic lineage in the order Chromaliales and could not be assigned to any of the defined families in the order. Phenotypic characteristics, including primarily non-phototrophic, non-alkaliphilic, non-halophilic, and obligately aerobic chemoheterotrophic properties, differentiated the strain from other related genera. The very low sequence similarities (&lt; 90%) and distant relationships between the strain and members of the order suggested that the strain merited classification as a novel genus within a novel family in the order Chromatiales. On the basis of these taxonomic traits, a novel genus and species is proposed, Granulosicoccus antarcticus gen. nov., sp. nov., in a new family Granulosicoccaceae fain. nov. Strain IMCC3135(T) (=KCCM 42676(T)=NBRC 102684(T)) is the type strain of Granulosicoccus antarcticus.</t>
  </si>
  <si>
    <t>Inha Univ, Div Biol &amp; Ocean Sci, Inchon 402751, South Korea; KOPRI, Polar Bioctr, Inchon 406840, South Korea</t>
  </si>
  <si>
    <t>Inha University; Korea Polar Research Institute (KOPRI)</t>
  </si>
  <si>
    <t>chojc@hiha.ac.kr</t>
  </si>
  <si>
    <t>KOREAN SOC MICROBIOLOGY &amp; BIOTECHNOLOGY</t>
  </si>
  <si>
    <t>KOREA SCI TECHNOL CENTER #507, 635-4 YEOGSAM-DONG, KANGNAM-GU, SEOUL 135-703, SOUTH KOREA</t>
  </si>
  <si>
    <t>1017-7825</t>
  </si>
  <si>
    <t>1738-8872</t>
  </si>
  <si>
    <t>J MICROBIOL BIOTECHN</t>
  </si>
  <si>
    <t>J. Microbiol. Biotechnol.</t>
  </si>
  <si>
    <t>216JV</t>
  </si>
  <si>
    <t>WOS:000249875200009</t>
  </si>
  <si>
    <t>Williams, RG; Wilson, C; Hughes, CW</t>
  </si>
  <si>
    <t>Williams, Richard G.; Wilson, Chris; Hughes, Chris W.</t>
  </si>
  <si>
    <t>Ocean and atmosphere storm tracks: The role of eddy vorticity forcing</t>
  </si>
  <si>
    <t>ANTARCTIC CIRCUMPOLAR CURRENT; GULF-STREAM MEANDERS; SOUTHERN-OCEAN; PROPAGATION; CIRCULATION; EDDIES; FLOW; VARIABILITY; WAVES; OROGRAPHY</t>
  </si>
  <si>
    <t>Signatures of eddy variability and vorticity forcing are diagnosed in the atmosphere and ocean from weather center reanalysis and altimetric data broadly covering the same period, 1992-2002. In the atmosphere, there are localized regions of eddy variability referred to as storm tracks. At the entrance of the storm track the eddies grow, providing a downgradient heat flux and accelerating the mean flow eastward. At the exit and downstream of the storm track, the eddies decay and instead provide a westward acceleration. In the ocean, there are similar regions of enhanced eddy variability along the extension of mid-latitude boundary currents and the Antarctic Circumpolar Current. Within these regions of high eddy kinetic energy, there are more localized signals of high Eady growth rate and downgradient eddy heat fluxes. As in the atmosphere, there are localized regions in the Southern Ocean where ocean eddies provide statistically significant vorticity forcing, which acts to accelerate the mean flow eastward, provide torques to shift the jet, or decelerate the mean flow. These regions of significant eddy vorticity forcing are often associated with gaps in the topography, suggesting that the ocean jets are being locally steered by topography. The eddy forcing may also act to assist in the separation of boundary currents, although the diagnostics of this study suggest that this contribution is relatively small when compared with the advection of planetary vorticity by the time-mean flow.</t>
  </si>
  <si>
    <t>Univ Liverpool, Dept Earth &amp; Ocean Sci, Liverpool L69 3GP, Merseyside, England; Proudman Oceanog Lab, Liverpool, Merseyside, England</t>
  </si>
  <si>
    <t>University of Liverpool; NERC National Oceanography Centre</t>
  </si>
  <si>
    <t>Williams, RG (corresponding author), Univ Liverpool, Dept Earth &amp; Ocean Sci, Liverpool L69 3GP, Merseyside, England.</t>
  </si>
  <si>
    <t>ric@liverpool.ac.uk</t>
  </si>
  <si>
    <t>Williams, Richard G/K-4111-2016; Wilson, Chris/B-5742-2012; Hughes, Chris W/A-3791-2010; Hughes, Chris/GQP-7479-2022</t>
  </si>
  <si>
    <t>Williams, Richard G/0000-0002-3180-7558; Wilson, Chris/0000-0003-0891-2912; Hughes, Chris W/0000-0002-9355-0233;</t>
  </si>
  <si>
    <t>Natural Environment Research Council [NER/T/S/2002/00439, soc010007, pol010005] Funding Source: researchfish; NERC [soc010007, pol010005] Funding Source: UKRI</t>
  </si>
  <si>
    <t>10.1175/JPO3120.1</t>
  </si>
  <si>
    <t>213BR</t>
  </si>
  <si>
    <t>WOS:000249641400005</t>
  </si>
  <si>
    <t>Cook, KB; Bunker, A; Hay, S; Hirst, AG; Speirs, DC</t>
  </si>
  <si>
    <t>Cook, K. B.; Bunker, A.; Hay, S.; Hirst, A. G.; Speirs, D. C.</t>
  </si>
  <si>
    <t>Naupliar development times and survival of the copepods Calanus helgolandicus and Calanus finmarchicus in relation to food and temperature</t>
  </si>
  <si>
    <t>JOURNAL OF PLANKTON RESEARCH</t>
  </si>
  <si>
    <t>SECONDARY PRODUCTION; GROWTH-RATE; POPULATION-DYNAMICS; FEEDING-BEHAVIOR; MARINE COPEPODS; BODY-SIZE; RATES; PACIFICUS; PATTERNS; SURVIVORSHIP</t>
  </si>
  <si>
    <t>We measured egg hatching tunes and stage specific naupliar development tinges of the key calanoid copepods Calanus helgolandicus and C. finmarchicus in response to temperature, food quantity and food type. Calanus helgolandicus development times decreased with increasing temperature and when fed Isochrysis galbana (4.4 mu m ESD) rather than Prorocentrum micans (29.5 mu m ESD). Nauplii needed higher food carbon concentration to develop past the fast feeding stage (N3) when fed 1. galbana compared with P micans. At low food carbon concentrations nauplii developed more slowly past N3 than at more saturated levels. The survival of nauplii fed P. micans increased with temperature, but starved nauplii survival decreased at higher temperatures. We parameterized a temperature-dependent model of development for both species which fitted the observed stage durations under non-limiting food extremely well and demonstrated that C. finmarchicus develops faster than C. helgolandicus. Further data are needed to clarify the effect of food-temperature interactions on development rates.</t>
  </si>
  <si>
    <t>FRS Marine Lab, Aberdeen AB11 9BD, Scotland; Heriot Watt Univ, Sch Life Sci, Edinburgh EH14 4AS, Midlothian, Scotland; British Antarctic Survey, NERC, Cambridge CB3 0ET, England; Univ Strathclyde, Dept Stat &amp; Modelling Sci, Glasgow G1 1XH, Lanark, Scotland</t>
  </si>
  <si>
    <t>Heriot Watt University; UK Research &amp; Innovation (UKRI); Natural Environment Research Council (NERC); NERC British Antarctic Survey; University of Strathclyde</t>
  </si>
  <si>
    <t>Cook, KB (corresponding author), FRS Marine Lab, POB 101,Victoria Rd, Aberdeen AB11 9BD, Scotland.</t>
  </si>
  <si>
    <t>k.cook@marlab.ac.uk</t>
  </si>
  <si>
    <t>Hirst, Andrew G/A-6296-2013; Bunker, Alex/ABC-2638-2021; Speirs, Douglas C/D-7526-2013; Cook, Kathryn Barbara/ISA-2646-2023</t>
  </si>
  <si>
    <t>Bunker, Alex/0000-0002-1236-9513; Speirs, Douglas C/0000-0002-4367-1459; Cook, Kathryn Barbara/0000-0001-8590-3011; Hirst, Andrew/0000-0001-9132-1886</t>
  </si>
  <si>
    <t>0142-7873</t>
  </si>
  <si>
    <t>1464-3774</t>
  </si>
  <si>
    <t>J PLANKTON RES</t>
  </si>
  <si>
    <t>J. Plankton Res.</t>
  </si>
  <si>
    <t>10.1093/plankt/fbm056</t>
  </si>
  <si>
    <t>213IH</t>
  </si>
  <si>
    <t>WOS:000249659600003</t>
  </si>
  <si>
    <t>Bradwell, T; Stoker, M; Larter, R</t>
  </si>
  <si>
    <t>Bradwell, Tom; Stoker, Martyn; Larter, Rob</t>
  </si>
  <si>
    <t>Geomorphological signature and flow dynamics of The Minch palaeo-ice stream, northwest Scotland</t>
  </si>
  <si>
    <t>JOURNAL OF QUATERNARY SCIENCE</t>
  </si>
  <si>
    <t>British-Irish ice sheet; Late Devensian; subglacial bedforms; palaeo-glaciology</t>
  </si>
  <si>
    <t>SCALE GLACIAL LINEATIONS; OUTER HEBRIDES; ATLANTIC-OCEAN; GREAT-BRITAIN; SHEET; LANDFORMS; ASSYNT; DIMENSIONS; SUTHERLAND; DEPOSITS</t>
  </si>
  <si>
    <t>Large-scale streamlined glacial landforms are identified in I I areas of northwest Scotland, from the Isle of Skye in the south to the Butt of Lewis in the north. These ice-directional features occur in bedrock and superficial deposits, generally below 350 in above sea level, and where best developed have elongation ratios of &gt; 20:1. Sidescan sonar and multibeam echo-sounding data from The Minch show elongate streamlined ridges and grooves on the seabed, with elongation ratios of up to 70:1. These bedforms are interpreted as mega-scale glacial lineations. All the features identified formed beneath The Minch palaeo-ice stream which was ca. 200 km long, up to 50 km wide and drained ca. 15 000 km(2) of the northwest sector of the last British-Irish Ice Sheet (Late Devensian Glaciation). Nine ice-stream tributaries and palaeo-onset zones are also identified, on the basis of geomorphological evidence. The spatial distribution and pattern of streamlined bedforms around The Minch has enabled the catchment, flow paths and basal shear stresses of the palaeo-ice stream and its tributaries to be tentatively reconstructed. (c) British Geological Survey/Natural Environment Research Council copyright 2007. Reproduced with the permission of BGS/NERC. Published by John Wiley &amp; Sons, Ltd.</t>
  </si>
  <si>
    <t>British Geol Survey, Edinburgh EH9 3LA, Midlothian, Scotland; British Antarctic Survey, Cambridge CB3 0ET, England</t>
  </si>
  <si>
    <t>UK Research &amp; Innovation (UKRI); Natural Environment Research Council (NERC); NERC British Geological Survey; UK Research &amp; Innovation (UKRI); Natural Environment Research Council (NERC); NERC British Antarctic Survey</t>
  </si>
  <si>
    <t>Bradwell, T (corresponding author), British Geol Survey, Murchison House W Mains Rd, Edinburgh EH9 3LA, Midlothian, Scotland.</t>
  </si>
  <si>
    <t>tbrad@bgs.ac.uk</t>
  </si>
  <si>
    <t>Bradwell, Tom/0000-0003-0947-3309; Larter, Robert/0000-0002-8414-7389; Stoker, Martyn/0000-0002-5314-0950</t>
  </si>
  <si>
    <t>0267-8179</t>
  </si>
  <si>
    <t>1099-1417</t>
  </si>
  <si>
    <t>J QUATERNARY SCI</t>
  </si>
  <si>
    <t>J. Quat. Sci.</t>
  </si>
  <si>
    <t>10.1002/jqs.1080</t>
  </si>
  <si>
    <t>210EN</t>
  </si>
  <si>
    <t>Green Submitted, Green Accepted</t>
  </si>
  <si>
    <t>WOS:000249439600005</t>
  </si>
  <si>
    <t>Watterson, IG</t>
  </si>
  <si>
    <t>Watterson, I. G.</t>
  </si>
  <si>
    <t>Southern Annular modes simulated by a climate model - Patterns, mechanisms, and uses</t>
  </si>
  <si>
    <t>PRIMITIVE EQUATION MODEL; ZONAL FLOW VACILLATION; INTERANNUAL VARIABILITY; ANTARCTIC OSCILLATION; WIND VACILLATION; MEAN STATE; CIRCULATION; FEEDBACK; INDEX; OCEAN</t>
  </si>
  <si>
    <t>Both high-latitude (HLM) and low-latitude modes (LLM) of variability of zonal wind in the Southern Hemisphere have been identified. Through an analysis of simulation for 1871-2200 by the CSIRO Mark 3 climate model, the extent to which these might both be described as annular modes, based oil their statistical patterns. physical mechanisms. and usefulness in climate study, is assessed. The modes are determined as EOF1 and EOF2 of vertically integrated zonal and monthly mean zonal wind, for 1871-1970. These match well those from ECMWF Re-Analysis (ERA) data and also from the earlier Mark 2 model. The mode index time series relate to largely annular patterns of local wind and surface pressure anomalies [with HUM giving the familiar southern annular mode (SAM)]. and other simulated quantities. While modes calculated from 90 degrees sectors are only moderately correlated (mostly in the polar region) for HLM, the link increases with time scale. There is little such relationship for LLM. A momentum equation analysis using daily data confirms that both zonal modes are driven by eddies, but only HLM features a positive eddy-mean flow feedback. Variation in feedback and surface damping through the seasonal cycle relate well to that in index autocorrelation. with the HLM being more persistent in summer. Stratospheric winds feature a long-lived component that tends to lead the FILM. The FILM drives sea surface temperature anomalies that persist for months, and Coupling with the ocean increases variability on longer time scales. The annular variability in the warmer climate of the twenty-second century is barely changed, but the mean climate change in the far south projects strongly on the HLM. The LLM features some statistical annularity and may have Some uses. However, only the HLM can be considered to be a physically based mode-the zonal-wind equivalent to the one southern annular mode.</t>
  </si>
  <si>
    <t>Watterson, IG (corresponding author), CSIRO Marine &amp; Atmospher Res, PB1, Aspendale, Vic 3195, Australia.</t>
  </si>
  <si>
    <t>ian.watterson@csiro.au</t>
  </si>
  <si>
    <t>Watterson, Ian G./A-1690-2012</t>
  </si>
  <si>
    <t>10.1175/JAS4014.1</t>
  </si>
  <si>
    <t>210KL</t>
  </si>
  <si>
    <t>WOS:000249455000007</t>
  </si>
  <si>
    <t>Hervé, F; Pankhurst, RJ; Fanning, CM; Calderón, M; Yaxley, GM</t>
  </si>
  <si>
    <t>Herve, F.; Pankhurst, R. J.; Fanning, C. M.; Calderon, M.; Yaxley, G. M.</t>
  </si>
  <si>
    <t>The South Patagonian batholith:: 150 my of granite magmatism on a plate margin</t>
  </si>
  <si>
    <t>LITHOS</t>
  </si>
  <si>
    <t>batholith; Mesozoic-Cenozoic; Patagonia; SHRIMP U-Pb ages</t>
  </si>
  <si>
    <t>ANTARCTIC PENINSULA; NAZCA FARALLON; ANDES; CHILE; ARCHIPELAGO; CORDILLERA; SUBDUCTION; BASIN; CONSTRAINTS; MAGALLANES</t>
  </si>
  <si>
    <t>A new database of 70 U-Pb zircon ages (mostly determined by SHRIMP) indicates that the South Patagonian batholith resulted from the amalgamation of subduction-related plutons from the Late Jurassic to the Neogene. Construction of the batholith began with a voluminous, previously undetected, Late Jurassic bimodal body mainly composed of leucogranite with some gabbro, emplaced along its present eastern margin within a restricted time span (157 to 145 Ma). This episode is, at least in part, coeval with voluminous rhyolitic ignimbrites of the Tobifera Formation, deposited in the deep Rocas Verdes Basin east of the batholith; this was the last of several southwestward-migrating silicic volcanic episodes in Patagonia that commenced in an Early Jurassic extensional tectonic regime. The quasi-oceanic mafic floor of the basin was also contemporaneous with this Late Jurassic batholithic event, as indicated by mutually crosscutting field relationships. Changes in subduction parameters then triggered the generation of earliest Cretaceous plutons (Cretaceous 1: 144-137 Ma) west of the Late Jurassic ones, a westward shift that culminated at 136-127 Ma (Cretaceous 2) along the present western margin of the batholith. Most mid- to Late Cretaceous (Cretaceous 3: 126-75 Ma) and Paleogene (67-40 Ma) granitoids are represented by geographically restricted plutons, mainly emplaced between the previously established margins of the batholith, and mostly in the far south; no associated volcanic rocks of sirnilar age are known at present in this area. During the final Neogene stage of plutonism (2515 Ma) a recurrence of coeval volcanism is recognized within and east of the batholith. Typical epsilon Ndt values for the granitoids vary from strongly negative (-5) in the Late Jurassic, to progressively higher values for Cretaceous 1 (-4), Cretaceous 2 (-0.7), Cretaceous 3 (+2) and the Paleogene (+5), followed by lower and more variable ones in the Neogene (-1 to +5). These variations may reflect different modes of pluton emplacement: large crustal magma chambers developed in the early stages (Late Jurassic to Cretaceous 1), leading to widespread emplacement of plutons with a crustal signature, whereas the Cretaceous 2, Cretaceous 3 and Palaeogene parts of the batholith resulted from incremental assembly of small plutons generated at greater depths and with higher epsilon Ndt. This does not in itself justify the idea of a reduction in crustal character due to progressive exhaustion of fusible material in the crust through which the magmas passed. (c) 2007 Elsevier B.V. All rights reserved.</t>
  </si>
  <si>
    <t>Univ Chile, Dept Geol, Santiago, Chile; NERC, Isotope Geosci Lab, Nottingham NG12 5GG, England; Australian Natl Univ, Res Sch Earth Sci, PRISE, Canberra, ACT 0200, Australia</t>
  </si>
  <si>
    <t>Universidad de Chile; UK Research &amp; Innovation (UKRI); Natural Environment Research Council (NERC); NERC British Geological Survey; Australian National University</t>
  </si>
  <si>
    <t>Hervé, F (corresponding author), Univ Chile, Dept Geol, Casilla 13518, Santiago, Chile.</t>
  </si>
  <si>
    <t>fherve@cec.uchile.cl; rjpt@bas.ac.uk; Mark.Fanning@anu.edu.au</t>
  </si>
  <si>
    <t>Herve, Francisco/HDO-6628-2022; Calderon, Mauricio/AAY-6863-2020; Fanning, Christopher Mark/I-6449-2016; Yaxley, Greg/A-1167-2008</t>
  </si>
  <si>
    <t>Fanning, Christopher Mark/0000-0003-3331-3145; Yaxley, Greg/0000-0003-0445-8812</t>
  </si>
  <si>
    <t>0024-4937</t>
  </si>
  <si>
    <t>1872-6143</t>
  </si>
  <si>
    <t>Lithos</t>
  </si>
  <si>
    <t>10.1016/j.lithos.2007.01.007</t>
  </si>
  <si>
    <t>Geochemistry &amp; Geophysics; Mineralogy</t>
  </si>
  <si>
    <t>210YE</t>
  </si>
  <si>
    <t>WOS:000249490700008</t>
  </si>
  <si>
    <t>Casper, RM; Jarman, SN; Gales, NJ; Hindell, MA</t>
  </si>
  <si>
    <t>Casper, Ruth M.; Jarman, Simon N.; Gales, Nicholas J.; Hindell, Mark A.</t>
  </si>
  <si>
    <t>Combining DNA and morphological analyses of faecal samples improves insight into trophic interactions: a case study using a generalist predator</t>
  </si>
  <si>
    <t>ANTARCTIC FUR SEALS; ICEFISH CHAMPSOCEPHALUS-GUNNARI; SQUID MOROTEUTHIS-INGENS; ARCTOCEPHALUS-GAZELLA PETERS; PHOCA-VITULINA-RICHARDSI; MACKEREL ICEFISH; SOUTHERN-OCEAN; SEASONAL-VARIATION; FORAGING BEHAVIOR; STOMACH CONTENTS</t>
  </si>
  <si>
    <t>The diet of pinnipeds is most commonly inferred from morphologically diagnostic remains of prey in their scats. Although this method can generate quantitative estimates of diet simply, important prey types may not always be detected. DNA-based methods improve detection of prey in scats, but they are not quantitative. While some studies have combined morphological and DNA-based methods, these have only assessed prey that are represented by their hard remains in scats. To overcome this bias, we apply molecular and morphological analyses to the soft and hard portions of faecal samples respectively, to estimate the diet of lactating Antarctic fur seals (Arctocephalus gazella) on Heard Island. The diet of this population is of particular interest because it is expanding rapidly and may rely to some extent on mackerel icefish (Champsocephalus gunnari), which are subject to commercial fisheries. Based on results from morphological analysis and likely important prey types, we tested for DNA remains of C. gunnari, myctophids and squid in faecal samples. The proportion of samples (n = 54) yielding no dietary information was reduced from around 25.9% using either method alone, to 9.3% when combined. Detection of all prey types tested for was notably improved by integrating molecular and morphological data. Data from either method alone would have underestimated the number of animals consuming C. gunnari by around 25.7%. Detection of multiple prey types in samples increased from 9.3% when using morphological analysis only, to 33.3% when using DNA only, to 46.3% when using both methods. Taken in isolation, morphological data inferred that individual seals consume either C. gunnari or myctophids, probably foraging in separate locations characteristic of those prey. Including molecular data demonstrated that while this may be true of some individuals, many other seals consume a mixed diet of at least C. gunnari, myctophids and squid. This new approach of combining DNA-based and morphological analyses of diet samples markedly increased the number of samples yielding dietary information, as well as increasing the amount of information attained from those samples. Our findings illustrate the broad potential of this technique to improve insight into trophic interactions in marine ecosystems.</t>
  </si>
  <si>
    <t>Australian Antarctic Div, Kingston, Tas 7050, Australia; Univ Tasmania, Sch Zool, Antarctic Wildllife Res Unit, Hobart, Tas 7001, Australia</t>
  </si>
  <si>
    <t>Casper, RM (corresponding author), Australian Antarctic Div, 203 Channel Highway, Kingston, Tas 7050, Australia.</t>
  </si>
  <si>
    <t>ruth.casper@aad.gov.au</t>
  </si>
  <si>
    <t>Hindell, Mark A/C-8368-2013; Hindell, Mark A/K-1131-2013; Jarman, Simon/H-9265-2016</t>
  </si>
  <si>
    <t>Jarman, Simon/0000-0002-0792-9686; Hindell, Mark/0000-0002-7823-7185</t>
  </si>
  <si>
    <t>10.1007/s00227-007-0732-y</t>
  </si>
  <si>
    <t>202OJ</t>
  </si>
  <si>
    <t>WOS:000248912600006</t>
  </si>
  <si>
    <t>Wilson, NG; Hunter, RL; Lockhart, SJ; Halanych, KM</t>
  </si>
  <si>
    <t>Wilson, N. G.; Hunter, R. L.; Lockhart, S. J.; Halanych, K. M.</t>
  </si>
  <si>
    <t>Multiple lineages and absence of panmixia in the circumpolar crinoid Promachocrinus kerguelensis from the Atlantic sector of Antarctica</t>
  </si>
  <si>
    <t>MITOCHONDRIAL-DNA; SOUTHERN-OCEAN; MOLECULAR SYSTEMATICS; BOUVET ISLAND; BENTHIC FAUNA; POLAR FRONT; DEEP-SEA; SPECIATION; POPULATIONS; EVOLUTION</t>
  </si>
  <si>
    <t>Despite considerable interest in physiology, evolution and life history of Antarctic marine invertebrates, only a limited number of studies have examined the genetic variability and diversity patterns of these organisms. Moreover, understanding and characterizing patterns of Antarctic biodiversity has taken on a degree of urgency because of potential impacts of global warming. To expand an understanding of the evolutionary history of Antarctic marine invertebrates, the genetic diversity of the crinoid Promachocrinus kerguelensis Carpenter, 1888 was investigated, which is documented to have a circumpolar distribution extending to subantarctic islands. Specimens of P. kerguelensis were collected from the western side of the Antarctic Peninsula, and the subantarctic islands South Georgia, South Sandwich and Bouvetoya Island from 2001 to 2004. P. kerguelensis was previously subject to morphological review that confirmed the taxonomic recognition of only one species. The wide distribution and reported high dispersal capability for P. kerguelensis predicts one large panmictic population. In contrast, nucleotide sequence data from mitochondrial cytochrome oxidase subunit I and cytochrome b genes, collected herein, reveal distinct genetic structure and cryptic speciation within P. kerguelensis. In the Antarctic Atlantic sector alone, there were at least five species-level clades. Some of these clades are geographically limited, and most exist in sympatry. The largest and most widespread of these clades was examined to help elucidate connectivity along the subantarctic islands of the Scotia Arc and the Antarctic Peninsula. Within this clade, most genetic diversity was contained within populations, but significant differences were present between regions (Antarctic Peninsula, South Sandwich Is., South Georgia, Bouvetoya Is.), suggesting a corresponding lack of gene flow. Given that P. kerguelensis is a well-studied taxon, the finding of considerable genetic diversity within the Atlantic sector alone suggests that the recognized diversity of Antarctica's benthic marine life may be underestimated, and will rise dramatically with phylogeographic analyses of putative widespread species.</t>
  </si>
  <si>
    <t>Univ Calif San Diego, Scripps Inst Oceanog, La Jolla, CA 92093 USA; Auburn Univ, Dept Sci Biol, Auburn, AL 36849 USA; Calif Acad Sci, Dept Invertebrate Zool &amp; Geol, San Francisco, CA 94103 USA</t>
  </si>
  <si>
    <t>University of California System; University of California San Diego; Scripps Institution of Oceanography; Auburn University System; Auburn University; California Academy of Sciences</t>
  </si>
  <si>
    <t>Wilson, NG (corresponding author), Univ Calif San Diego, Scripps Inst Oceanog, 9500 Gilman Dr, La Jolla, CA 92093 USA.</t>
  </si>
  <si>
    <t>ngwilson@ucsd.edu</t>
  </si>
  <si>
    <t>Wilson, Nerida G./AAC-1456-2019; Wilson, Nerida/G-8433-2011; Halanych, Kenneth/A-9480-2009</t>
  </si>
  <si>
    <t>Wilson, Nerida/0000-0002-0784-0200; Halanych, Kenneth/0000-0002-8658-9674</t>
  </si>
  <si>
    <t>10.1007/s00227-007-0742-9</t>
  </si>
  <si>
    <t>WOS:000248912600013</t>
  </si>
  <si>
    <t>Obermülller, B; Puntarulo, S; Abele, D</t>
  </si>
  <si>
    <t>Obermueller, Birgit; Puntarulo, Susana; Abele, Doris</t>
  </si>
  <si>
    <t>UV-tolerance and instantaneous physiological stress responses of two Antarctic amphipod species Gondogeneia antarctica and Djerboa furcipes during exposure to UV radiation</t>
  </si>
  <si>
    <t>MARINE ENVIRONMENTAL RESEARCH</t>
  </si>
  <si>
    <t>amphipods; UV-radiation; photoprotection; stress response; oxygen consumption</t>
  </si>
  <si>
    <t>WALDECKIA-OBESA CHEVREUX; EUPHAUSIA-SUPERBA DANA; AMINO-ACIDS; HYDROGEN-PEROXIDE; OXIDATIVE STRESS; METABOLIC-RATE; B RADIATION; DNA-DAMAGE; ULTRAVIOLET; ORGANISMS</t>
  </si>
  <si>
    <t>We investigated the shielding against solar ultraviolet radiation and inducible damage, as well as the short-term response of whole animal metabolic rate in two Antarctic shallow water amphipod species. Light absorbance by the carapace of Gondogeneia antarctica and Djerboa furcipes was higher in the UVR (UVB + UVA) range (42. 1 % and 54.5% on average respectively) compared to the PAR (photosynthetically active radiation) range (38. 1 % and 50. 1 % respectively) of the solar spectrum. Bands of higher absorbance correlated with maximal absorbance ranges of sunscreening compounds indicating mycosporine-like amino acids (MAAs) and carotenoids to be innate compounds of the exoskeleton of these species. Though the antioxidant enzyme catalase was photoinhibited, protein damage products did not accumulate under experimental exposure to a daily dose of 6.84 kJ m(-2) d(-1) UVB, 66.24 kJ m(-2) d(-1) UVA and 103.14 kJ m(-2) d(-1) PAR. Animal oxygen consumption during UV-exposure was measured as an indicator of immediate behavioural and physiological stress response. UVB as well as UVA induced a response with altered and highly variable respiratory intensity. Our findings indicate that sub-lethal UVR exposure causes increased oxygen consumption in polar amphipods due to radiation avoidance, shelter seeking behaviour, and presumably also from cellular repair processes. (c) 2007 Elsevier Ltd. All rights reserved.</t>
  </si>
  <si>
    <t>Alfred Wagner Inst Polar &amp; Marine Res, Dept Shelf Sea Ecol, D-27570 Bremerhaven, Germany; British Antarctic Survey, NERC, Cambridge CB3 0ET, England; Univ Buenos Aires, Sch Pharm &amp; Biochem, Phys Chem PRALIB, RA-1053 Buenos Aires, DF, Argentina</t>
  </si>
  <si>
    <t>Helmholtz Association; Alfred Wegener Institute, Helmholtz Centre for Polar &amp; Marine Research; UK Research &amp; Innovation (UKRI); Natural Environment Research Council (NERC); NERC British Antarctic Survey; University of Buenos Aires</t>
  </si>
  <si>
    <t>Abele, D (corresponding author), Alfred Wagner Inst Polar &amp; Marine Res, Dept Shelf Sea Ecol, Handelshafen 12, D-27570 Bremerhaven, Germany.</t>
  </si>
  <si>
    <t>Doris.Abele@awi-bremerhaven.de</t>
  </si>
  <si>
    <t>Natural Environment Research Council [bas010013] Funding Source: researchfish; NERC [bas010013] Funding Source: UKRI</t>
  </si>
  <si>
    <t>0141-1136</t>
  </si>
  <si>
    <t>1879-0291</t>
  </si>
  <si>
    <t>MAR ENVIRON RES</t>
  </si>
  <si>
    <t>Mar. Environ. Res.</t>
  </si>
  <si>
    <t>10.1016/j.marenvres.2007.02.001</t>
  </si>
  <si>
    <t>Environmental Sciences; Marine &amp; Freshwater Biology; Toxicology</t>
  </si>
  <si>
    <t>Environmental Sciences &amp; Ecology; Marine &amp; Freshwater Biology; Toxicology</t>
  </si>
  <si>
    <t>205XC</t>
  </si>
  <si>
    <t>WOS:000249147000002</t>
  </si>
  <si>
    <t>Anilkumar, N; Pednekar, SM; Sudhakar, M</t>
  </si>
  <si>
    <t>Anilkumar, N.; Pednekar, S. M.; Sudhakar, M.</t>
  </si>
  <si>
    <t>Influence of ridges on hydrographic parameters in the Southwest Indian Ocean</t>
  </si>
  <si>
    <t>seabed topography; hydrographic parameters; thermohaline gradients; volume transport; Ridges</t>
  </si>
  <si>
    <t>ANTARCTIC CIRCUMPOLAR CURRENT; SOUTHERN-OCEAN; WATER MASSES; FRONTS; TASMANIA; SECTION; AFRICA; TEMPERATURE; VARIABILITY</t>
  </si>
  <si>
    <t>The objective of the paper is to use the data collected along two meridional sections (45 degrees E and 57 degrees 30' E) during the austral summer (January-March) 2004 to understand the influence of seabed topography across the Madagascar and Southwest Indian Ridges on hydrographic parameters. The study was supplemented by World Ocean Circulation Experiment (WOCE) Conductivity-Temperature-Depth data collected during February-March 1996 along 30 degrees E, as well as Levitus climatology. A southward shift of 2 degrees latitude (between 45 degrees E and 57 degrees 30' E) was recorded for the two predominant frontal structures, i.e., the Agulhas Return Front and Southern Subtropical Front, which is attributed to the influence of seabed topography on hydrographic parameters. No significant spatial variation of these fronts was noted between the 30 degrees E and 45 degrees E meridional sections. Between latitudes 31 degrees S and 42 degrees S, the temperature and salinity structures show deepening over the ridges. The Antarctic Circumpolar Current core was detected between 40 degrees 15' S and 43 degrees S.</t>
  </si>
  <si>
    <t>Natl Ctr Antarct &amp; Ocean Res, Headland Sada 403804, Goa, India</t>
  </si>
  <si>
    <t>Ministry of Earth Sciences (MoES) - India; National Centre for Polar and Ocean Research (NCPOR)</t>
  </si>
  <si>
    <t>Anilkumar, N (corresponding author), Natl Ctr Antarct &amp; Ocean Res, Headland Sada 403804, Goa, India.</t>
  </si>
  <si>
    <t>anil3321@yahoo.co.in</t>
  </si>
  <si>
    <t>10.1007/s11001-007-9026-5</t>
  </si>
  <si>
    <t>212WO</t>
  </si>
  <si>
    <t>WOS:000249627900002</t>
  </si>
  <si>
    <t>Krishnan, KP; Fernandes, SO; Chandan, GS; Bharathi, PAL</t>
  </si>
  <si>
    <t>Krishnan, K. P.; Fernandes, Sheryl Oliveira; Chandan, G. S.; Bharathi, P. A. Loka</t>
  </si>
  <si>
    <t>Bacterial contribution to mitigation of iron and manganese in mangrove sediments</t>
  </si>
  <si>
    <t>iron; manganese; mangroves; heterotrophs; nitrifiers; geoaccumulation</t>
  </si>
  <si>
    <t>HEAVY-METALS; TRACE-METAL; WEST-COAST; ESTUARINE; INDIA; NITRIFICATION; REDUCTION; POLLUTION; RIVER</t>
  </si>
  <si>
    <t>The Mandovi and Chapora are two tropical estuaries lying in close geographic proximity on the west coast of India. Seasonal changes in down core variation of Fe, Mn and Total Organic Carbon (TOC) in the mangrove sediments adjoining these estuaries were studied to assess their influence on some of the representative benthic bacteria belonging to heterotrophic and autotrophic groups. Heterotrophic bacteria (HB) cultured on different nutrient concentrations (0.01%, 0.1% and 25%) together with nitrifiers (NtB; representating autotroph) were chosen to assess the influence of the above-mentioned abiotic parameters on the former. The experimental site located along the Mandovi is under the influence of extensive ferromanganese ore mining, while the control site at Chapora is relatively free from such influences. Geoaccumulation index computed for Mandovi showed that sediments (0-10 cm) were 'uncontaminated to moderately contaminated' by Fe during the pre monsoon and monsoon seasons, while in the post monsoon season the 4-10 cm fraction was almost completely restored from contamination. Similar computations for Mn showed that in pre monsoon, sediments fell in the 'moderately contaminated' and 'moderately to strongly contaminated' categories, while in the monsoon and post monsoon seasons all the sections were 'Uncontaminated'. The difference observed in correlation between Fe and Mn with the various fractions of heterotrophs and nitrifiers indicated that though these two elements shared a similar chemistry in the environment, microbes involved in biogeochemical processes might prefer them differentially. The relationship between TOC and HB enumerated on 0.01% dilute nutrient agar remained at r = 0.50, p &lt; 0.05 throughout the year. Hence, it could be apparently linked to their preferred concentration of organic carbon requirement. A relationship of r = 0.61, p &lt; 0.01 between manganese concentration and heterotrophs recovered on different strengths of nutrient agar is suggestive of their response to the metal enrichment. They could thus contribute towards maintaining the level of Mn at par with reference levels at Chapora. A positive correlation between Mn with NtB (it = 10, p &lt; 0.05, r = 0.58) at the experimental site during the non-monsoon months is suggestive of the latter's contribution to regulation of the metal concentration in the sediment probably through anaerobic nitrification at the expense of manganese. The study therefore supports our hypothesis that both autochthonous auto-trophs and heterotrophs work in tandem to mitigate concentration of Mn and related metals in mangrove sediments. (c) 2007 Published by Elsevier Ltd.</t>
  </si>
  <si>
    <t>Natl Inst Oceanog, Panaji, Goa, India; Natl Ctr Antarctic &amp; Ocean Res, Vasco Da Gama, Goa, India</t>
  </si>
  <si>
    <t>Council of Scientific &amp; Industrial Research (CSIR) - India; CSIR - National Institute of Oceanography (NIO); Ministry of Earth Sciences (MoES) - India; National Centre for Polar and Ocean Research (NCPOR)</t>
  </si>
  <si>
    <t>Bharathi, PAL (corresponding author), Natl Inst Oceanog, Panaji, Goa, India.</t>
  </si>
  <si>
    <t>loka@nio.org</t>
  </si>
  <si>
    <t>P, Krishnan K/ABF-8783-2020</t>
  </si>
  <si>
    <t>, K. P. Krishnan/0000-0003-1101-657X</t>
  </si>
  <si>
    <t>10.1016/j.marpolbul.2007.05.023</t>
  </si>
  <si>
    <t>218KH</t>
  </si>
  <si>
    <t>WOS:000250013900024</t>
  </si>
  <si>
    <t>Connolly, HC; Smith, C; Benedix, G; Folco, L; Righter, K; Zipfel, J; Yamaguchi, A; Aoudjehane, HC</t>
  </si>
  <si>
    <t>Connolly, Harold C., Jr.; Smith, Caroline; Benedix, Gretchen; Folco, Luigi; Righter, Kevin; Zipfel, Jutta; Yamaguchi, Akira; Chennaoui Aoudjehane, Hasnaa</t>
  </si>
  <si>
    <t>The Meteoritical Bulletin, no. 92, 2007 September</t>
  </si>
  <si>
    <t>CLASSIFICATION</t>
  </si>
  <si>
    <t>In this edition of The Meteoritical Bulletin, 1394 recognized meteorites are reported, 27 from specific locations within Africa, 133 from Northwest Africa, 1227 from Antarctica (from ANSMET, PNRA, and PRIC expeditions), and 7 from Asia. The Meteoritical Bulletin announces the approval of four new names series by the Nomenclature Committee of the Meteoritical Society, two from Africa and one from Asia, including At Haggounia, from At Haggounia, Morocco, which is projected to be on the order of 3 metric tons of material related to enstatite chondrites and aubrites. Approved are two falls from Africa, Bassikounou (Mauritania) and Gashua (Nigeria). Approved from areas other than Antarctica are one lunar, two Martian, 32 other achondrites, three mesosiderites, two pallasites, one CM, two CK, one CR2, two CV3, one CR2, and four R chondrites. The Nomenclature Committee of the Meteoritical Society announces 48 newly approved relict meteorites from two new name series, Osterplana and Gullhogen (both from Sweden).</t>
  </si>
  <si>
    <t>[Connolly, Harold C., Jr.] CUNY, Kingsborough Community Coll, Grad Sch, Dept Phys Sci, Brooklyn, NY 11210 USA; [Connolly, Harold C., Jr.] Amer Museum Nat Hist, Dept Earth &amp; Planetary Sci, New York, NY 10024 USA; [Connolly, Harold C., Jr.] Univ Arizona, Lunar &amp; Planetary Lab, Dept Planetary Sci, Tucson, AZ 85721 USA; [Smith, Caroline; Benedix, Gretchen] Nat Hist Museum, Dept Mineral, London SW7 5BD, England; [Folco, Luigi] Museo Nazl Antartide, I-53100 Siena, Italy; [Righter, Kevin] NASA, Lyndon B Johnson Space Ctr, Code ST, Houston, TX 77058 USA; [Zipfel, Jutta] Forschungsinst Naturmuseum Senckenberg, Sekt Meteoritenforsch, D-60325 Frankfurt, Germany; [Yamaguchi, Akira] Natl Inst Polar Res, Antarctic Meteorite Res Ctr, Tokyo 1738515, Japan; [Chennaoui Aoudjehane, Hasnaa] Univ Hassan II Casablanca, Fac Sci, Dept Geol, Maarif, Casablanca, Morocco</t>
  </si>
  <si>
    <t>City University of New York (CUNY) System; American Museum of Natural History (AMNH); University of Arizona; Natural History Museum London; National Aeronautics &amp; Space Administration (NASA); NASA Johnson Space Center; Senckenberg Gesellschaft fur Naturforschung (SGN); Research Organization of Information &amp; Systems (ROIS); National Institute of Polar Research (NIPR) - Japan; Hassan II University of Casablanca</t>
  </si>
  <si>
    <t>Connolly, HC (corresponding author), CUNY, Kingsborough Community Coll, Grad Sch, Dept Phys Sci, 2001 Oriental Blvd, Brooklyn, NY 11210 USA.</t>
  </si>
  <si>
    <t>meteorite@kingsborough.edu</t>
  </si>
  <si>
    <t>Folco, Luigi/AAB-8586-2021; Smith, Caroline/AAO-3652-2020; Chennaoui, Hasnaa/KGL-7333-2024; Folco, Luigi/AAA-6351-2020; Benedix, Gretchen/L-1953-2018</t>
  </si>
  <si>
    <t>Smith, Caroline/0000-0001-7005-6470; Chennaoui, Hasnaa/0000-0001-8792-246X; Benedix, Gretchen/0000-0003-0990-8878; Folco, Luigi/0000-0002-7276-3483; Righter, Kevin/0000-0002-6075-7908</t>
  </si>
  <si>
    <t>10.1111/j.1945-5100.2007.tb00596.x</t>
  </si>
  <si>
    <t>244MB</t>
  </si>
  <si>
    <t>WOS:000251868900012</t>
  </si>
  <si>
    <t>Cavicchioli, R</t>
  </si>
  <si>
    <t>Cavicchioli, Rick</t>
  </si>
  <si>
    <t>Antarctic metagenomics</t>
  </si>
  <si>
    <t>MICROBIOLOGY AUSTRALIA</t>
  </si>
  <si>
    <t>COMMUNITY STRUCTURE; MEROMICTIC LAKES; VESTFOLD HILLS; BOVINE RUMEN; GENOMICS; DIVERSITY; BIOTECHNOLOGY; HOLOCENE; LIBRARY; ARCHAEA</t>
  </si>
  <si>
    <t>[Cavicchioli, Rick] Univ NSW, Sch Biotechnol &amp; Biomol Sci, Sydney, NSW 2052, Australia</t>
  </si>
  <si>
    <t>Cavicchioli, R (corresponding author), Univ NSW, Sch Biotechnol &amp; Biomol Sci, Sydney, NSW 2052, Australia.</t>
  </si>
  <si>
    <t>r.cavicchioli@unsw.edu.au</t>
  </si>
  <si>
    <t>Cavicchioli, Ricardo/D-4341-2013</t>
  </si>
  <si>
    <t>1324-4272</t>
  </si>
  <si>
    <t>2201-9189</t>
  </si>
  <si>
    <t>MICROBIOL AUST</t>
  </si>
  <si>
    <t>Microbiol. Aust.</t>
  </si>
  <si>
    <t>V0I2Q</t>
  </si>
  <si>
    <t>WOS:000216252300003</t>
  </si>
  <si>
    <t>Susana, E; Papetti, C; Barbisan, F; Bortolotto, E; Buccoli, S; Patarnello, T; Zane, L</t>
  </si>
  <si>
    <t>Susana, Emanuele; Papetti, Chiara; Barbisan, Federica; Bortolotto, Erica; Buccoli, Simona; Patarnello, Tomaso; Zane, Lorenzo</t>
  </si>
  <si>
    <t>Isolation and characterization of eight microsatellite loci in the icefish Chaenocephalus aceratus (Perciformes, Notothenioidei, Channichthyidae)</t>
  </si>
  <si>
    <t>MOLECULAR ECOLOGY NOTES</t>
  </si>
  <si>
    <t>Chaenocephalus aceratus; notothenioidei; Southern Ocean; microsatellite; FIASCO protocol</t>
  </si>
  <si>
    <t>We characterized eight polymorphic microsatellites in the Scotia icefish Chaenocephalus aceratus (Perciformes, Notothenioidei, Channichthyidae) that is endemic of Southern Ocean waters surrounding the tip of the Antarctic Peninsula. Microsatellites were isolated from a partial genomic library enriched for an AC motif. The number of alleles ranged from two to 19 with a mean observed hererozygosity of 0.71. Loci were in Hardy-Weinberg equilibrium and no evidence for linkage disequilibrium was found. These molecular markers will be useful to investigate Scotia icefish genetic structure, possibly providing insights on its effective population size and demographic history.</t>
  </si>
  <si>
    <t>Univ Padua, Dept Biol, I-35121 Padua, Italy; Univ Padua, Dept Publ Hlth Comparat Pathol &amp; Vet Hyg, I-35020 Legnaro, Italy; Univ Cagliari, Anim Biol &amp; Biol Dept, I-109126 Cagliari, Italy</t>
  </si>
  <si>
    <t>University of Padua; University of Padua; University of Cagliari</t>
  </si>
  <si>
    <t>Patarnello, T (corresponding author), Univ Padua, Dept Biol, Via G Colombo 3, I-35121 Padua, Italy.</t>
  </si>
  <si>
    <t>Zane, Lorenzo/G-6249-2010</t>
  </si>
  <si>
    <t>Zane, Lorenzo/0000-0002-6963-2132; Papetti, Chiara/0000-0002-4567-459X; PATARNELLO, Tomaso/0000-0003-1794-5791</t>
  </si>
  <si>
    <t>1471-8278</t>
  </si>
  <si>
    <t>MOL ECOL NOTES</t>
  </si>
  <si>
    <t>Mol. Ecol. Notes</t>
  </si>
  <si>
    <t>10.1111/j.1471-8286.2007.01703.x</t>
  </si>
  <si>
    <t>206OO</t>
  </si>
  <si>
    <t>WOS:000249193000014</t>
  </si>
  <si>
    <t>Powers, JG</t>
  </si>
  <si>
    <t>Powers, Jordan G.</t>
  </si>
  <si>
    <t>Numerical prediction of an antarctic severe wind event with the Weather Research and Forecasting (WRF) model</t>
  </si>
  <si>
    <t>DATA ASSIMILATION SYSTEM; MM5; IMPLEMENTATION; GREENLAND; MODIS; AMPS</t>
  </si>
  <si>
    <t>This study initiates the application of the maturing Weather Research and Forecasting (WRF) model to the polar regions in the context of the real-time Antarctic Mesoscale Prediction System (AMPS). The behavior of the Advanced Research WRF (ARW) in a high-latitude setting and its ability to capture a significant Antarctic weather event are investigated. Also, in a suite of sensitivity tests, the impacts of the assimilation of Moderate Resolution Imaging Spectroradiometer (MODIS) atmospheric motion vectors on ARW Antarctic forecasts are explored. The simulation results are analyzed and the statistical significance of error differences is assessed. It is found that with the proper consideration of MODIS data the ARW can accurately simulate a major Antarctic event, the May 2004 McMurdo windstorm. The ARW simulations illuminate an episode of high-momentum flow responding to the complex orography of the vital Ross Island region. While the model captures the synoptic setting and basic trajectory of the cyclone driving the event, there are differences on the mesoscale in the evolution of the low pressure system that significantly affect the forecast results. In general, both the ARW and AMPS's fifth-generation Pennsylvania State University-National Center for Atmospheric Research Mesoscale Model (MM5) tend to underforecast the wind magnitudes, reflecting their stalling and filling of the system near Ross Island. It is seen, however, that both targeted data assimilation and grid resolution enhancement can yield improvement in the forecast of the key parameter of wind speed. It is found that the assimilation of MODIS observations can significantly improve the forecast for a high-impact Antarctic weather event. However, the application to the retrievals of a filter accounting for instrument channel, observation height, and surface type is necessary. The results indicate benefits to initial conditions and high-resolution, polar, mesoscale forecasts from the careful assimilation of nontraditional satellite observations over Antarctica and the Southern Ocean.</t>
  </si>
  <si>
    <t>Natl Ctr Atmospher Res, Mesoscale &amp; Microscale Meteorol Div, Earth &amp; Sun Syst Labs, Boulder, CO 80307 USA</t>
  </si>
  <si>
    <t>Powers, JG (corresponding author), Natl Ctr Atmospher Res, Mesoscale &amp; Microscale Meteorol Div, Earth &amp; Sun Syst Labs, POB 3000, Boulder, CO 80307 USA.</t>
  </si>
  <si>
    <t>powers@ucar.edu</t>
  </si>
  <si>
    <t>10.1175/MWR3459.1</t>
  </si>
  <si>
    <t>208WO</t>
  </si>
  <si>
    <t>WOS:000249350100008</t>
  </si>
  <si>
    <t>Horne, RB</t>
  </si>
  <si>
    <t>Horne, Richard Bertram</t>
  </si>
  <si>
    <t>Plasma astrophysics: Acceleration of killer electrons</t>
  </si>
  <si>
    <t>NATURE PHYSICS</t>
  </si>
  <si>
    <t>R.Horne@bas.ac.uk</t>
  </si>
  <si>
    <t>1745-2473</t>
  </si>
  <si>
    <t>NAT PHYS</t>
  </si>
  <si>
    <t>Nat. Phys.</t>
  </si>
  <si>
    <t>10.1038/nphys703</t>
  </si>
  <si>
    <t>217FL</t>
  </si>
  <si>
    <t>WOS:000249933700006</t>
  </si>
  <si>
    <t>Hooijmaijers, CAM; Gould, KS</t>
  </si>
  <si>
    <t>Hooijmaijers, C. A. M.; Gould, Kevin S.</t>
  </si>
  <si>
    <t>Photoprotective pigments in red and green gametophytes of two New Zealand liverworts</t>
  </si>
  <si>
    <t>NEW ZEALAND JOURNAL OF BOTANY</t>
  </si>
  <si>
    <t>jamesoniella colorata; Isotachis; lyallii; red pigment; chlorophyll; carotenoid; photoprotection; optical properties</t>
  </si>
  <si>
    <t>CHLOROPHYLL FLUORESCENCE; OPTICAL-PROPERTIES; ANTARCTIC MOSS; LEAVES; ANTHOCYANINS; PHOTOSYNTHESIS; STRESS</t>
  </si>
  <si>
    <t>Gametophytes of Jamesoniella colorata (Jungermanniaceae) and Isotachis lyallii (Isotachidaceae) produce red leaves in exposed habitats, but green leaves in shaded environments. To understand the functional significance of this colour polymorphism, the anatomy, pigment composition, optical properties, and kinetics of chlorophyll a fluorescence were compared for red and green gametophytes. Both colour morphs were structurally similar, but the red leaves held unidentified red pigment(s) firmly associated with the cell wall. Green morphs contained more chlorophylls and carotenoids, and had higher ratios of chlorophylls to carotenoids, than did the red morphs. Red leaves absorbed 10% more photosynthetically active radiation, with a maximum at 540 nm, than did the green leaves. Under high irradiance, the red leaves maintained higher apparent quantum efficiencies for photosynthesis, and had larger photochemical and non-photochemical quenching values. The data indicate that red gametophytes have the greater potential to mitigate the damaging effects of high irradiance.</t>
  </si>
  <si>
    <t>Univ Otago, Dept Bot, Dunedin 9054, New Zealand; Univ Auckland, Sch Biol Sci, Auckland 1142, New Zealand</t>
  </si>
  <si>
    <t>University of Otago; University of Auckland</t>
  </si>
  <si>
    <t>Hooijmaijers, CAM (corresponding author), Univ Otago, Dept Bot, POB 56, Dunedin 9054, New Zealand.</t>
  </si>
  <si>
    <t>kevin.gould@botany.otago.ac.nz</t>
  </si>
  <si>
    <t>0028-825X</t>
  </si>
  <si>
    <t>1175-8643</t>
  </si>
  <si>
    <t>NEW ZEAL J BOT</t>
  </si>
  <si>
    <t>N. Z. J. Bot.</t>
  </si>
  <si>
    <t>224VS</t>
  </si>
  <si>
    <t>WOS:000250475800001</t>
  </si>
  <si>
    <t>Lever, H</t>
  </si>
  <si>
    <t>Lever, Helen</t>
  </si>
  <si>
    <t>Review of unconformities in the late Eocene to early Miocene successions of the South Island, New Zealand: ages, correlations, and causes</t>
  </si>
  <si>
    <t>NEW ZEALAND JOURNAL OF GEOLOGY AND GEOPHYSICS</t>
  </si>
  <si>
    <t>oligocene; eocene; unconformities; stratigraphy; Marshall paraconformity; antarctic circumpolar current</t>
  </si>
  <si>
    <t>ANTARCTIC CIRCUMPOLAR CURRENT; MARSHALL PARACONFORMITY; OLIGOCENE UNCONFORMITIES; SEDIMENTARY CYCLES; NORTH-CANTERBURY; TERTIARY ROCKS; WEST-COAST; SEA; SEQUENCE; STRATIGRAPHY</t>
  </si>
  <si>
    <t>Unconformities are physical surfaces dividing strata of different ages. However, the term is used also to mean the time that is not represented by sediments, or missing time. While unconformities are created by geological events that either prevent deposition or remove deposited sediment, a single unconformity surface could represent multiple events, and if the last event is of sufficient magnitude, the unconformity's appearance will represent the processes occurring only during that event. It should be of no surprise, therefore, that unravelling the history of successions containing multiple unconformities is difficult, and that is especially the case where dating is poor and where unconformity surfaces are hard to correlate. An example of the difficulty presented by unconformable successions can be seen in the Oligocene stratigraphy of New Zealand, where the Marshall Paraconforinity has been the focus of controversial interpretation, correlation, and dating. The succession was originally described as conformable, as the unconformities generally (but not always) occur between units orientated parallel to each other. The first location (in Mid Canterbury) where a significant unconformity was identified by biostratigraphy placed the age of the unconformity between early Oligocene sediments and late Oligocene sediments. Other unconformities identified around the South Island in a similar stratigraphic position were correlated with this unconformity. Later dating of a newly designated type section placed the Marshall Paraconformity within the Whaingaroan Stage, in the early Oligocene. Although many biostratigraphic ages for unconformities in South Island successions are not precise, the available data show a distinct range of unconformity ages in different basins. In general, Oligocene deposits are condensed, but there appears to be no one time in the Oligocene when unconformities developed everywhere. Unconformities in the Oligocene could be caused by global sea-level falls, relative sea-level high-stand, local faulting and volcanic activity, and oceanic current activity. These causes could have formed both local and regionally extensive unconformities. In successions with only one unconformity surface, that surface may represent the occurrence of multiple unconformity-causing processes, further complicating the unravelling of Oligocene geologic history in New Zealand.</t>
  </si>
  <si>
    <t>Heriot Watt Univ, Inst Petr Engn, Edinburgh EH14 4AS, Midlothian, Scotland</t>
  </si>
  <si>
    <t>Heriot Watt University</t>
  </si>
  <si>
    <t>Lever, H (corresponding author), Heriot Watt Univ, Inst Petr Engn, Edinburgh EH14 4AS, Midlothian, Scotland.</t>
  </si>
  <si>
    <t>helen@verso.org</t>
  </si>
  <si>
    <t>RSNZ PUBLISHING</t>
  </si>
  <si>
    <t>WELLINGTON</t>
  </si>
  <si>
    <t>PO BOX 598, WELLINGTON, 00000, NEW ZEALAND</t>
  </si>
  <si>
    <t>0028-8306</t>
  </si>
  <si>
    <t>NEW ZEAL J GEOL GEOP</t>
  </si>
  <si>
    <t>N. Z. J. Geol. Geophys.</t>
  </si>
  <si>
    <t>10.1080/00288300709509835</t>
  </si>
  <si>
    <t>226US</t>
  </si>
  <si>
    <t>WOS:000250614600007</t>
  </si>
  <si>
    <t>Worland, MR; Hawes, TC; Bale, JS</t>
  </si>
  <si>
    <t>Worland, M. R.; Hawes, T. C.; Bale, J. S.</t>
  </si>
  <si>
    <t>Temporal resolution of cold acclimation and de-acclimation in the Antarctic collembolan, Cryptopygus antarcticus</t>
  </si>
  <si>
    <t>collembola; flexibility; maritime Antarctic; rapid cold hardening; supercooling point; temporal scaling</t>
  </si>
  <si>
    <t>HARDINESS; LIFE; TEMPERATURE; TOLERANCE</t>
  </si>
  <si>
    <t>The Antarctic collembolan, Cryptopygus antarcticus (Willem), can switch its supercooling point (SCIP) between 'winter' and 'summer' modes of cold hardiness over a matter of hours. High resolution temporal scaling of the acquisition and loss of cold hardiness is undertaken by assaying changes in the proportion of animals freezing below - 15 degrees C in response to cooling rate, acclimation temperature, and access to food and moisture. Rapid de-acclimation to the 'summer' modal state is readily achieved after 1-6 It in response to warming and access to food; however, rapid acclimation to the 'winter' modal state is only evident in response to slow cooling and narrow ranges of temperature (0-5 degrees C). The rapid loss of cold tolerance at higher temperatures with access to food, in particular, emphasizes this species' opportunistic responses to resource availability in the short polar summers. Cold hardiness is apparently more readily traded off against nutrient acquisition than vice versa in this maritime Antarctic species.</t>
  </si>
  <si>
    <t>Univ Birmingham, Sch Biosci, Birmingham B15 2TT, W Midlands, England; British Antarctic Survey, NERC, Cambridge CB3 0ET, England</t>
  </si>
  <si>
    <t>Bale, JS (corresponding author), Univ Birmingham, Sch Biosci, Birmingham B15 2TT, W Midlands, England.</t>
  </si>
  <si>
    <t>j.s.bale@bham.ac.uk</t>
  </si>
  <si>
    <t>10.1111/j.1365-3032.2007.00569.x</t>
  </si>
  <si>
    <t>206SW</t>
  </si>
  <si>
    <t>WOS:000249204200005</t>
  </si>
  <si>
    <t>La Mesa, M</t>
  </si>
  <si>
    <t>La Mesa, Mario</t>
  </si>
  <si>
    <t>The utility of otolith microstructure in determining the timing and position of the first annulus in juvenile Antarctic toothfish (Dissostichus mawsoni) from the South Shetland Islands</t>
  </si>
  <si>
    <t>juvenile antarctic toothfish; age; daily increments</t>
  </si>
  <si>
    <t>PATAGONIAN TOOTHFISH; MACKEREL ICEFISH; ROSS SEA; AGE; GROWTH; LARVAL; FISH; ELEGINOIDES; VALIDATION; PRECISION</t>
  </si>
  <si>
    <t>Juvenile Antarctic toothfish (Dissostichus mawsoni) collected off the South Shetland Islands (CCAMLR Subarea 48.1) were aged by counting the presumed daily increments in the sagittal otoliths. The timing and position of the first annulus was examined for each individual fish from 10 to 13 cm TL. Under reflected light at low magnification, the otolith sections exhibited a wide opaque nucleus, with no evidence of deposition of the first translucent zone. The average measurement of ventral and dorsal radii of these sections were, respectively, 603 and 768 mu m, consistently less than the measurements done in previously estimated 1 year old fish caught in the same area. All specimens aged in the present study were approximately 1 year old fish, with an age range between 365 and 431 days, suggesting a significant underestimation of age in the previous studies. The value of ageing precision indices calculated was relatively low, supporting the reliability of the reading technique applied. Two checks were easily identified in the core of all otolith sections, interpreted tentatively as hatching and first exogenous feeding checks. Back-calculating from the time of capture, the hatching period of D. mawsoni was estimated to occur throughout the summer season, from November to February. In conclusion, the delay in timing of deposition of the first translucent zone, which occurs in the second winter from hatching, should be taken into account in future studies on ageing Antarctic toothfish, as well as in the stock assessment models based on length at age data.</t>
  </si>
  <si>
    <t>ISMAR CNR, Ist Sci Marine, Sez Ancona, I-60125 Ancona, Italy</t>
  </si>
  <si>
    <t>Consiglio Nazionale delle Ricerche (CNR); Istituto di Scienze Marine (ISMAR-CNR)</t>
  </si>
  <si>
    <t>La Mesa, M (corresponding author), ISMAR CNR, Ist Sci Marine, Sez Ancona, I-60125 Ancona, Italy.</t>
  </si>
  <si>
    <t>CNR, Ismar/P-1247-2014</t>
  </si>
  <si>
    <t>CNR, Ismar/0000-0001-5351-1486</t>
  </si>
  <si>
    <t>10.1007/s00300-007-0281-3</t>
  </si>
  <si>
    <t>201DX</t>
  </si>
  <si>
    <t>WOS:000248812800001</t>
  </si>
  <si>
    <t>Hernandez, J; Prado, V; Torres, D; Waldenström, J; Haemig, PD; Olsen, B</t>
  </si>
  <si>
    <t>Hernandez, Jorge; Prado, Valeria; Torres, Daniel; Waldenstrom, Jonas; Haemig, Paul D.; Olsen, Bjorn</t>
  </si>
  <si>
    <t>Enteropathogenic Escherichia coli (EPEC) in Antarctic fur seals Arctocephalus gazella</t>
  </si>
  <si>
    <t>SALMONELLA; INFECTIONS; ISLAND</t>
  </si>
  <si>
    <t>Rectal swabs were collected from Antarctic fur seal pups Arctocephalus gazella at Cape Shirreff, South Shetland Islands, and analyzed for the presence of anthropogenic pathogens. Two of the 33 pups tested positive for enteropathogenic Escherichia coli (EPEC). These samples are the first records of EPEC in Antarctic wildlife and suggest that more needs to be done to protect the Antarctic fauna from exotic anthropogenic pathogens.</t>
  </si>
  <si>
    <t>Univ Kalmar, Dept Biol &amp; Environm Sci, Sect Zoonot Ecol &amp; Epidemiol, S-39182 Kalmar, Sweden; Univ Chile, Fac Med, Inst Ciencias Biomed, Programa Microbiol, Santiago 7, Chile; Inst Antartico Chileno, Dept Cient, Punta Arenas, Chile; Lund Univ, Dept Anim Ecol, S-22362 Lund, Sweden; Univ Uppsala Hosp, Dept Med Sci, Infect Dis Sect, S-75185 Uppsala, Sweden</t>
  </si>
  <si>
    <t>Linnaeus University; University of Kalmar; Universidad de Chile; Lund University; Uppsala University; Uppsala University Hospital</t>
  </si>
  <si>
    <t>Hernandez, J (corresponding author), Univ Kalmar, Dept Biol &amp; Environm Sci, Sect Zoonot Ecol &amp; Epidemiol, S-39182 Kalmar, Sweden.</t>
  </si>
  <si>
    <t>jorge.hernandez@hik.se</t>
  </si>
  <si>
    <t>Waldenström, Jonas/E-4460-2013</t>
  </si>
  <si>
    <t>Waldenström, Jonas/0000-0002-1152-4235; Olsen, Bjorn/0000-0002-4646-691X</t>
  </si>
  <si>
    <t>10.1007/s00300-007-0282-2</t>
  </si>
  <si>
    <t>WOS:000248812800002</t>
  </si>
  <si>
    <t>Trivelpiece, WZ; Buckelew, S; Reiss, C; Trivelpiece, SG</t>
  </si>
  <si>
    <t>Trivelpiece, Wayne Z.; Buckelew, Stacey; Reiss, Christian; Trivelpiece, Susan G.</t>
  </si>
  <si>
    <t>The winter distribution of chinstrap penguins from two breeding sites in the South Shetland Islands of Antarctica</t>
  </si>
  <si>
    <t>chinstrap penguin; winter migration</t>
  </si>
  <si>
    <t>KING-GEORGE-ISLAND; PYGOSCELIS-ADELIAE; MIGRATION; ATTACHMENT; ECOLOGY</t>
  </si>
  <si>
    <t>Satellite telemetry was used to determine the winter movements of eight chinstrap penguins from two breeding colonies in the South Shetland Islands, Antarctica during the 2000 and 2004 austral winters. Chinstrap penguins foraged largely inshore, on the shelf, north of the South Shetland Islands during 2000, but foraged mainly offshore in pelagic waters in 2004. Analyses of foraging trip durations during the chick-rearing periods that preceded the 2000 and 2004 winters suggest that prey were more abundant inshore during the summer of 2000 than in 2004. Oceanographic data further revealed the presence of a strong shelf-slope front in 2000 that was absent in 2004. In addition, two of the six chinstrap penguins from the colony in Admiralty Bay migrated from the South Shetland Islands region to the vicinity of the South Orkney and South Sandwich Islands, distances of 800 and 1,300 km, respectively. We postulate that the differences in winter migratory behavior among chinstrap penguins from this colony may reflect individual ties to different ancestral epicenters of chinstrap populations; one older and local in the South Shetland Islands and one relatively recent, arising from the emigration of chinstrap penguins that occurred during the expansion of this species in the mid-1900s.</t>
  </si>
  <si>
    <t>Trivelpiece, WZ (corresponding author), SW Fisheries Sci Ctr, Antarctic Ecosyst Res Div, La Jolla, CA 92037 USA.</t>
  </si>
  <si>
    <t>wayne.trivelpiece@noaa.gov</t>
  </si>
  <si>
    <t>10.1007/s00300-007-0283-1</t>
  </si>
  <si>
    <t>WOS:000248812800003</t>
  </si>
  <si>
    <t>Barbosa, A; Merino, S; Benzal, J; Martínez, J; García-Fraile, S</t>
  </si>
  <si>
    <t>Barbosa, Andres; Merino, Santiago; Benzal, Jesus; Martinez, Javier; Garcia-Fraile, Sonia</t>
  </si>
  <si>
    <t>Population variability in heat shock proteins among three Antarctic penguin species</t>
  </si>
  <si>
    <t>Antarctica; ecophysiology; environmental gradient; heat shock protein; Pygoscelis adeliae; Pygoscelis antarctica; Pygoscelis papua; stress</t>
  </si>
  <si>
    <t>STRESS-PROTEINS; EXPRESSION; PARASITISM; HSP70; FISH; GENE; RESPONSES; DISEASE; LIVERS; ABSENT</t>
  </si>
  <si>
    <t>Heat shock proteins (HSPs) are synthesised under stressful conditions such as exposure to elevated temperatures, contamination, free radicals, UV light or pathophysiological states resulting from parasites and/or pathogens. HSPs function to protect cells by means of modulation of protein folding. In Antarctica, these proteins have been studied in such organisms as protozoa and fishes, without attention to geographical variation. We studied the variation of HSP70 and HSP60 levels in Gentoo, Adelie and Chinstrap penguins among different populations along the Antarctic Peninsula from King George Island (62 degrees 15'S) to Avian Island (67 degrees 46'S). Our results show that the northern population of Gentoo penguin showed higher levels of HSP70 and HSP60 than the southern population. High temperature, human impact and immunity as a proxy for parasites and diseases in northern locations could explain such variation. Adelie penguin only showed significant geographical variation in HSP70, increasing north to south, a pattern perhaps related to increased UV radiation and decreased temperatures from north to south. Chinstrap penguin shows no population differences in the variation in neither HSP70 nor HSP60, although HSP70 showed marginally significant differences. Sexual differences in the level of these proteins are also discussed.</t>
  </si>
  <si>
    <t>CSIC, Estac Expt Zonas Aridas, Dept Ecol Func &amp; Evolut, Almeria 04001, Spain; CSIC, Museo Nacl Ciencias Nat, Dept Ecol Evolut, E-28006 Madrid, Spain; Univ Alcala de Henares, Fac Farm, Dept Microbiol &amp; Parasitol, Alcala De Henares 28871, Spain</t>
  </si>
  <si>
    <t>Consejo Superior de Investigaciones Cientificas (CSIC); CSIC - Estacion Experimental de Zonas Aridas (EEZA); Consejo Superior de Investigaciones Cientificas (CSIC); CSIC - Museo Nacional de Ciencias Naturales (MNCN); Universidad de Alcala</t>
  </si>
  <si>
    <t>Barbosa, A (corresponding author), CSIC, Estac Expt Zonas Aridas, Dept Ecol Func &amp; Evolut, C Gen Segura 1, Almeria 04001, Spain.</t>
  </si>
  <si>
    <t>barbosa@eeza.csic.es</t>
  </si>
  <si>
    <t>Merino, Santiago/A-6183-2008; Barbosa, Andrés/C-3208-2008; Benzal, Jesús/T-4555-2017; Martinez, Javier/H-2827-2015</t>
  </si>
  <si>
    <t>Merino, Santiago/0000-0003-0603-8280; Barbosa, Andrés/0000-0001-8434-3649; Martinez, Javier/0000-0003-2657-1154</t>
  </si>
  <si>
    <t>10.1007/s00300-007-0284-0</t>
  </si>
  <si>
    <t>WOS:000248812800004</t>
  </si>
  <si>
    <t>Moore, M; Manahan, DT</t>
  </si>
  <si>
    <t>Moore, Michael; Manahan, Donal T.</t>
  </si>
  <si>
    <t>Variation among females in egg lipid content and developmental success of echinoderms from McMurdo Sound, Antarctica</t>
  </si>
  <si>
    <t>Antarctica; echinoderms; eggs; lipids</t>
  </si>
  <si>
    <t>SEA-URCHIN; ENERGY-METABOLISM; LARVAL GROWTH; ROSS SEA; EMBRYOS; ENERGETICS; REPRODUCTION; PATTERNS; QUALITY; ADULT</t>
  </si>
  <si>
    <t>Egg lipid and protein content of different females of Antarctic echinoderms in McMurdo Sound, Antarctica, were measured to assess variation among females and developmental success. Egg triacylglycerol content of the Antarctic sea urchin Sterechinus neumayeri, when less than 70 ng, correlated with embryos that failed to develop past the 4-day-old blastula stage. In contrast asteroids (Odontaster meridionalis, O. validus, Acodontaster hodgsoni) all produced eggs that developed normally, even with variable egg lipid content. This difference might be related to dietary sources for more herbivorous sea urchins compared to more omnivorous and predatory asteroids. Low egg lipid content, with resulting poor embryonic survivorship, suggests that herbivorous sea urchins may be under unusual levels of nutritional stress in McMurdo Sound during the time frame studied (2004-2005). This nutritional stress might be related to the presence of large icebergs, known to have reduced primary production in the Ross Sea area.</t>
  </si>
  <si>
    <t>Univ So Calif, Dept Biol Sci, Los Angeles, CA 90089 USA</t>
  </si>
  <si>
    <t>10.1007/s00300-007-0285-z</t>
  </si>
  <si>
    <t>WOS:000248812800005</t>
  </si>
  <si>
    <t>Ellingsen, KE; Brandt, A; Ebbe, B; Linse, K</t>
  </si>
  <si>
    <t>Ellingsen, Kari E.; Brandt, Angelika; Ebbe, Brigitte; Linse, Katrin</t>
  </si>
  <si>
    <t>Diversity and species distribution of polychaetes, isopods and bivalves in the Atlantic sector of the deep Southern Ocean</t>
  </si>
  <si>
    <t>TAXONOMIC DISTINCTNESS; EPIBENTHIC SLEDGE; SPATIAL-PATTERNS; BETA-DIVERSITY; WEDDELL SEA; RANGE SIZE; BODY-SIZE; BIODIVERSITY; CRUSTACEA; SCALE</t>
  </si>
  <si>
    <t>We examined deep-sea benthic data on polychaetes, isopods and bivalves from the Atlantic sector of the Southern Ocean. Samples were taken during the expeditions EASIZ II (1998), ANDEEP I and II (2002) (depth: 742-6,348 m). The range between sites varies from 3 to 1,900 km. Polychaetes (175 species in total) and isopods (383 species) had a high proportion of species restricted to one or two sites (72 and 70%, respectively). Bivalves (46 species) had a higher proportion of species represented at more sites. Beta diversity (Whittaker and Jaccard) was higher for polychaetes and isopods than for bivalves. The impact of depth on species richness was not consistent among groups; polychaetes showed a negative relationship to depth, isopods displayed highest richness in the middle depth range (2,000-4,000 m), whereas bivalves showed no clear relationship to depth. Species richness was not related to latitude (58-74 degrees S) or longitude (22-60 degrees W) for any group.</t>
  </si>
  <si>
    <t>Norwegian Inst Nat Res, Polar Environm Ctr, N-9296 Tromso, Norway; Univ Hamburg, Zool Museum, D-20146 Hamburg, Germany; Zool Forsch Museum Konig, DZMB CeDAMar, D-53113 Bonn, Germany; British Antarctic Survey, NERC, Cambridge CB3 0ET, England</t>
  </si>
  <si>
    <t>Norwegian Institute Nature Research; University of Hamburg; UK Research &amp; Innovation (UKRI); Natural Environment Research Council (NERC); NERC British Antarctic Survey</t>
  </si>
  <si>
    <t>Ellingsen, KE (corresponding author), Norwegian Inst Nat Res, Polar Environm Ctr, N-9296 Tromso, Norway.</t>
  </si>
  <si>
    <t>kari.ellingsen@nina.no; abrandt@zoologie.uni-hamburg.de; bhilbig@senckenberg.de; kl@bas.ac.uk</t>
  </si>
  <si>
    <t>Brandt, Angelika/C-1630-2018</t>
  </si>
  <si>
    <t>Ellingsen, Kari Elsa/0000-0002-2321-8278; Linse, Katrin/0000-0003-3477-3047</t>
  </si>
  <si>
    <t>10.1007/s00300-007-0287-x</t>
  </si>
  <si>
    <t>WOS:000248812800007</t>
  </si>
  <si>
    <t>van den Hoff, J; Burton, H; Raymond, B</t>
  </si>
  <si>
    <t>van den Hoff, John; Burton, Harry; Raymond, Ben</t>
  </si>
  <si>
    <t>The population trend of southern elephant seals (Mirounga leonina L.) at Macquarie Island (1952-2004)</t>
  </si>
  <si>
    <t>long-term study; rate of increase; GAM; non-linear; Antarctica; sub-Antarctic</t>
  </si>
  <si>
    <t>PENGUINS; GROWTH; AREAS; AGE</t>
  </si>
  <si>
    <t>Total numbers of adult female southern elephant seals (cows) breeding at Macquarie Island were determined for 19 of the 52 year period between 1952 and 2004. Totals for 1952-1987 (exc. 1959 and 1985) were estimated from the relationship between censuses of the isthmus study area and concurrent censuses for the whole island. Totals for 1987-2004 were obtained by direct census of the entire island in mid-October. Cow numbers decreased from a maximum of about 40,000 in the 1950s to a minimum of 18,300 in 2000, but then increased slightly to 19,200 in 2004. Nonlinear and post-hoc linear analysis of the count data identified 1999 as the year when the exponential rate of change (r) slowed from -1.4% per annum to near zero. The rate of change was not uniform for each census sub-area counted (1987-2004), suggesting that certain terrestrially based density-dependent mechanisms were influencing the annual distribution of cows.</t>
  </si>
  <si>
    <t>van den Hoff, J (corresponding author), Australian Antarctic Div, 203 Channel Highway, Kingston, Tas 7050, Australia.</t>
  </si>
  <si>
    <t>john_van@aad.gov.au</t>
  </si>
  <si>
    <t>10.1007/s00300-007-0288-9</t>
  </si>
  <si>
    <t>WOS:000248812800008</t>
  </si>
  <si>
    <t>Ichinomiya, M; Honda, M; Shimoda, H; Saito, K; Odate, T; Fukuchi, M; Taniguchi, A</t>
  </si>
  <si>
    <t>Ichinomiya, Mutsuo; Honda, Masaki; Shimoda, Haruto; Saito, Kenji; Odate, Tsuneo; Fukuchi, Mitsuo; Taniguchi, Akira</t>
  </si>
  <si>
    <t>Structure of the summer under fast ice microbial community near Syowa Station, eastern Antarctica</t>
  </si>
  <si>
    <t>microbial structure; ice algae; protozoans; fast ice; Syowa station</t>
  </si>
  <si>
    <t>FECAL PELLET PRODUCTION; CELL-VOLUME; ELLIS FJORD; PHYTOPLANKTON SUCCESSION; EUPHAUSIA-SUPERBA; COASTAL WATERS; AUSTRAL SUMMER; SOUTHERN-OCEAN; CARBON CONTENT; ROSS SEA</t>
  </si>
  <si>
    <t>Temporal variations in the microbial community structure of plankton, which is composed of autotrophic and heterotrophic pico-, nano- and microplankton, were investigated during the austral summer of 2005/2006 under fast ice near Syowa Station, eastern Antarctica. Autotrophic algal populations were composed almost entirely of diatoms followed by phytoflagellates such as autotrophic dinoflagellates and cryptophytes. Among the microbial community, heterotrophic biomass was dominated by heterotrophic dinoflagellates and naked ciliates and finally exceeded autotrophic biomass. Qualitative microscopic analysis revealed that heterotrophic dinoflagellates were ingesting large number of diatoms. Synchronizing fluctuation of naked ciliates with phytoflagellates suggested a predator-prey relationship between them. Our results suggest that the pelagic food webs under the extensive ice-covered areas in coastal Antarctic regions are not short but complex.</t>
  </si>
  <si>
    <t>Tohoku Univ, Sch Agr Sci, Sendai, Miyagi 9818555, Japan; Natl Maritime Res Inst, Tokyo 1810004, Japan; Cent Res Inst Elect Power Ind, Chiba 2701194, Japan; Natl Inst Genet, Shizuoka 4118540, Japan; Natl Inst Polar Res, Tokyo 1738515, Japan; Tokyo Univ Agr Okhotsk, Abashiri, Hokkaido 0992493, Japan</t>
  </si>
  <si>
    <t>Tohoku University; National Maritime Research Institute; Central Research Institute of Electric Power Industry - Japan; Research Organization of Information &amp; Systems (ROIS); National Institute of Genetics (NIG) - Japan; Research Organization of Information &amp; Systems (ROIS); National Institute of Polar Research (NIPR) - Japan; Tokyo University of Agriculture</t>
  </si>
  <si>
    <t>Ichinomiya, M (corresponding author), Tohoku Univ, Sch Agr Sci, Sendai, Miyagi 9818555, Japan.</t>
  </si>
  <si>
    <t>mutsuo@bios.tohoku.ac.jp</t>
  </si>
  <si>
    <t>10.1007/s00300-007-0289-8</t>
  </si>
  <si>
    <t>WOS:000248812800009</t>
  </si>
  <si>
    <t>Ban, S; Ohi, N; Leong, SCY; Takahashi, KT; Riser, CW; Taguchi, S</t>
  </si>
  <si>
    <t>Ban, Syuhei; Ohi, Nobuaki; Leong, Sandric Chee Yew; Takahashi, Kunio T.; Riser, Christian W.; Taguchi, Satoru</t>
  </si>
  <si>
    <t>Effect of solar ultraviolet radiation on survival of krill larvae and copepods in Antarctic Ocean</t>
  </si>
  <si>
    <t>survival; krill; copepods; ultraviolet radiation; Zooplankton; Antarctic Ocean</t>
  </si>
  <si>
    <t>EUPHAUSIA-SUPERBA DANA; UV-B RADIATION; CALANOIDES-ACUTUS; OZONE DEPLETION; MARINE COPEPOD; DAMAGE; PHYTOPLANKTON; MORTALITY; IMPACT; PHOTOSYNTHESIS</t>
  </si>
  <si>
    <t>The effect of solar ultraviolet radiation on the survival rate of Antarctic zooplankton was examined in February-March in 2002. We investigated survival rate of calyptopis larvae of Euphausia superba and late copepodite stages (IV and V) of large dominant calanoid species, Calanoides acutus and Calanus propinquus reared in quartz jars with three different radiation regimes (total radiation, exclusion of UVB, exclusion of UVA and UVB) and a dark control. The survival rates of the krill larvae decreased after 3 days from start of the experiment, being below 50% at 4 days in the treatments with total radiation and exclusion of UVB, although most individuals could survive until the end of the experiments in the treatments with exclusion of both UVA and UVB and dark control. The calanoid juveniles showed almost same pattern of survival curves as the krill larvae did, but survived slightly longer. Although &gt; 10% of surface UVA radiation at 340 and 380 nm penetrated down to 30 m, both C. acutus and C. propinquus were mostly distributed above 20 m. Surface swarm of the krill larvae can be often recognized in the previous studies. These results suggest that not only solar UVB but also UVA radiation potentially lower the survival rate of Antarctic zooplankton at depth less than 20 m.</t>
  </si>
  <si>
    <t>Univ Shiga Prefecture, Sch Environm Sci, Shiga 5228533, Japan; Soka Univ, Fac Engn, Tokyo 1928577, Japan; Natl Inst Polar Res, Itabashi Ku, Tokyo 1738515, Japan; Univ Tromso, Norwegian Coll Fishery Sci, N-9037 Tromso, Norway</t>
  </si>
  <si>
    <t>University Shiga Prefecture; Soka University; Research Organization of Information &amp; Systems (ROIS); National Institute of Polar Research (NIPR) - Japan; UiT The Arctic University of Tromso</t>
  </si>
  <si>
    <t>Ban, S (corresponding author), Univ Shiga Prefecture, Sch Environm Sci, 2500 Hassako Cho, Shiga 5228533, Japan.</t>
  </si>
  <si>
    <t>ban@ses.usp.ac.jp</t>
  </si>
  <si>
    <t>Leong, Sandric/F-5304-2013</t>
  </si>
  <si>
    <t>10.1007/s00300-007-0290-2</t>
  </si>
  <si>
    <t>WOS:000248812800010</t>
  </si>
  <si>
    <t>External nutrient inputs into terrestrial ecosystems of the Falkland Islands and the Maritime Antarctic region</t>
  </si>
  <si>
    <t>nutrient inputs; stable isotope; sea spray</t>
  </si>
  <si>
    <t>PRECIPITATION NITROGEN; ORNITHOGENIC PRODUCTS; PHYSICAL FACTORS; PENGUIN ROOKERY; STABLE-ISOTOPES; SIGNY ISLAND; PLANTS; MOSSES; CARBON; LAND</t>
  </si>
  <si>
    <t>Antarctic terrestrial ecosystems are nutrient-poor and depend for their functioning in part on external nutrients. However, little is known about the relative importance of various sources. We measured external mineral nutrient sources (wind blown material, precipitation and guano) at three locations, the cold temperate oceanic Falkland Islands (51 degrees 76'S), and the Maritime Antarctic Signy (60 degrees 71'S) and Anchorage Islands (67 degrees 61'S). These islands differ in the level of vegetation development through different environmental constraints and historical factors. Total mineral nitrogen input differed considerably between the islands. During the 3 month summer period it amounted to 18 mg N m(-2) on the Falkland Islands and 6 and 102 mg N m(-2) at Signy and Anchorage Islands, respectively. The high value for Anchorage was a result of guano deposition. By measuring stable isotopic composition (delta N-15) of the different nitrogen sources and the dominant plant species, we investigated the relative utilisation of each source by the vegetation at each island. We conclude that external mineral nitrogen inputs to Antarctic terrestrial ecosystems show great spatial variability, with the local presence of bird (or other vertebrate) colonies being particularly significant.</t>
  </si>
  <si>
    <t>Stefbokhorst@hotmail.com</t>
  </si>
  <si>
    <t>Bokhorst, Stef/D-1858-2009; Convey, Peter/AAV-5728-2020; Huiskes, Ad/C-3252-2011</t>
  </si>
  <si>
    <t>Convey, Peter/0000-0001-8497-9903; Aerts, Rien/0000-0001-6694-0669; Bokhorst, Stef/0000-0003-0184-1162</t>
  </si>
  <si>
    <t>10.1007/s00300-007-0292-0</t>
  </si>
  <si>
    <t>WOS:000248812800012</t>
  </si>
  <si>
    <t>de Bruyn, PJN; Pistorius, PA; Tosh, CA; Bester, MN</t>
  </si>
  <si>
    <t>de Bruyn, P. J. Nico; Pistorius, Pierre A.; Tosh, Cheryl A.; Bester, Marthan N.</t>
  </si>
  <si>
    <t>Leucistic antarctic fur seal Arctocephalus gazella at marion island</t>
  </si>
  <si>
    <t>Arctocephalus gazella; leucism; Marion Island</t>
  </si>
  <si>
    <t>TROPICALIS</t>
  </si>
  <si>
    <t>A leucistic immature male Antarctic fur seal, Arctocephalus gazella, was sighted at Marion Island in April 2006; the first such sighting in three decades of extensive field presence of biologists at this locality. The same animal returned to the island in July/August 2006, when it was moulting, and was marked with unique flipper tags, after which it was sighted in early October 2006 again. Considering that individuals of this species are capable of moving far from their natal population, we suggest that the animal could likely have come from South Georgia, where this colour morph is relatively common.</t>
  </si>
  <si>
    <t>Univ Pretoria, Mammal Res Inst, Dept Zool &amp; Entomol, ZA-0002 Pretoria, South Africa</t>
  </si>
  <si>
    <t>de Bruyn, PJN (corresponding author), Univ Pretoria, Mammal Res Inst, Dept Zool &amp; Entomol, ZA-0002 Pretoria, South Africa.</t>
  </si>
  <si>
    <t>pjndebruyn@zoology.up.ac.za</t>
  </si>
  <si>
    <t>Bester, Marthán N/E-5387-2010; de Bruyn, P. J. Nico/E-4176-2010; Tosh, Cheryl/D-5623-2016</t>
  </si>
  <si>
    <t>de Bruyn, P. J. Nico/0000-0002-9114-9569; Tosh, Cheryl/0000-0003-0243-5422; Pistorius, Pierre/0000-0001-6561-7069</t>
  </si>
  <si>
    <t>10.1007/s00300-007-0320-0</t>
  </si>
  <si>
    <t>WOS:000248812800017</t>
  </si>
  <si>
    <t>Hearty, PJ; Hollin, JT; Neumann, AC; O'Leary, MJ; McCulloch, M</t>
  </si>
  <si>
    <t>Hearty, Paul J.; Hollin, John T.; Neumann, A. Conrad; O'Leary, Michael J.; McCulloch, Malcolm</t>
  </si>
  <si>
    <t>Global sea-level fluctuations during the Last Interglaciation (MIS 5e)</t>
  </si>
  <si>
    <t>WHOLE-ROCK AMINOSTRATIGRAPHY; DATED CORAL TERRACES; ANTARCTIC ICE-SHEET; U-SERIES; WESTERN-AUSTRALIA; SUBSTAGE 5E; THERMOHALINE CIRCULATION; MIDDLE PLEISTOCENE; ELEUTHERA ISLAND; SOUTH-AUSTRALIA</t>
  </si>
  <si>
    <t>The geomorphology and morphostratigraphy of numerous worldwide sites reveal the relative movements of sea level during the peak of the Last Interglaciation (Marine Isotope Stage (MIS) 5e, assumed average duration between 130 +/- 2 and 119 +/- 2 ka). Because sea level was higher than present, deposits are emergent, exposed, and widespread on many stable coastlines. Correlation with MIS 5e is facilitated by similar morphostratigraphic relationships, a low degree of diagenesis, uranium-thorium (U/Th) ages, and a global set of amino-acid racemization (AAR) data. This study integrates information from a large number of sites from tectonically stable areas including Bermuda, Bahamas, and Western Australia, and some that have experienced minor uplift (similar to 2.5 m/100ka), including selected sites from the Mediterranean and Hawaii. Significant fluctuations during the highstand are evident at many MIS 5e sites, revealed from morphological, stratigraphic, and sedimentological evidence. Rounded and flat-topped curves derived only from reef tracts are incomplete and not representative of the entire interglacial story. Despite predictions of much different sea-level histories in Bermuda, the Bahamas, and Western Australia due to glacio- and hydro-isostatic effects, the rocks from these sites reveal a nearly identical record during the Last Interglaciation. The Last Interglacial highstand is characterized by several defined sea-level intervals (SLls) that include: (SLI#1) post-glacial (MIS 6/5e Termination 11) rise to above present before 130ka; (SLI#2) stability at +2 to +3m for the initial several thousand years (similar to 130 to similar to 125ka) during which fringing reefs were established and terrace morphology was imprinted along the coastlines; (SLI#3) a brief fall to near or below present around 125 ka; (SLI#4) a secondary rise to and through similar to + 3-4 m (similar to 124 to similar to 122 ka); followed by (SLI#5) a brief period of instability (similar to 120 ka) characterized by a rapid rise to between +6 to +9 m during which multiple notches and benches were developed; and (SLI#6) an apparently rapid descent of sea level into MIS 5d after 119 ka. U/Th ages are used to confirm the Last Interglacial age of the deposits, but unfortunately, in only two cases was it possible to corroborate the highstand subdivisions using radiometric ages. Sea levels above or at present were relatively stable during much of early MIS 5e and the last 6-7 ka of MIS 1, encouraging a comparison between them. The geological evidence suggests that significant oceanographic and climatic changes occurred thereafter, midway through, and continuing through the end of MIS 5e. Fluctuating sea levels and a catastrophic termination of MIS 5e are linked to the instability of grounded and marine-based ice sheets, with the Greenland (GIS) and West Antarctic (WAIS) ice sheets being the most likely contributors. Late MIS 5e ice volume changes were accompanied by oceanographic reorganization and global ecological shifts, and provide one ominous scenario for a greenhouse world. (c) 2007 Elsevier Ltd. All rights reserved.</t>
  </si>
  <si>
    <t>Univ Wollongong, Sch Earth &amp; Environm Sci, Wollongong, NSW 2522, Australia; Univ Colorado, Inst Arctic &amp; Alpine Res, Boulder, CO 80309 USA; Univ N Carolina, Dept Marine Sci, Chapel Hill, NC 27599 USA; Manchester Metropolitan Univ, Dept Geog &amp; Environm Sci, Manchester M1 5GD, Lancs, England; Australian Natl Univ, Res Sch Earth Sci, Canberra, ACT 0000, Australia</t>
  </si>
  <si>
    <t>University of Wollongong; University of Colorado System; University of Colorado Boulder; University of North Carolina; University of North Carolina Chapel Hill; Manchester Metropolitan University; Australian National University</t>
  </si>
  <si>
    <t>Hearty, PJ (corresponding author), Univ Wollongong, Sch Earth &amp; Environm Sci, Wollongong, NSW 2522, Australia.</t>
  </si>
  <si>
    <t>paulh@uow.edu.nu</t>
  </si>
  <si>
    <t>McCulloch, Malcolm Thomas/C-3651-2009</t>
  </si>
  <si>
    <t>McCulloch, Malcolm Thomas/0000-0003-1538-1558; O'Leary, Michael/0000-0001-7040-3137</t>
  </si>
  <si>
    <t>10.1016/j.quascirev.2007.06.019</t>
  </si>
  <si>
    <t>237MP</t>
  </si>
  <si>
    <t>WOS:000251378800005</t>
  </si>
  <si>
    <t>Bassett, SE; Milne, GA; Bentley, MJ; Huybrechts, P</t>
  </si>
  <si>
    <t>Bassett, S. E.; Milne, G. A.; Bentley, M. J.; Huybrechts, P.</t>
  </si>
  <si>
    <t>Modelling Antarctic sea-level data to explore the possibility of a dominant Antarctic contribution to meltwater pulse IA</t>
  </si>
  <si>
    <t>LAST GLACIAL MAXIMUM; POSTGLACIAL ISOSTATIC-ADJUSTMENT; RADIOCARBON AGE CALIBRATION; YOUNGER DRYAS EVENT; CAL KYR BP; ICE-SHEET; LATE PLEISTOCENE; MANTLE VISCOSITY; EAST ANTARCTICA; MELTING HISTORY</t>
  </si>
  <si>
    <t>We compare numerical predictions of glaciation-induced sea-level change to data from 8 locations around the Antarctic coast in order to test if the available data preclude the possibility of a dominant Antarctic contribution to meltwater pulse IA (mwp-IA). Results based on a subset of 7 spherically symmetric earth viscosity models and 6 different Antarctic deglaciation histories indicate that the sea-level data do not rule out a large Antarctic source for this event. Our preliminary analysis indicates that the Weddell Sea is the most likely source region for a large (similar to 9m) Antarctic contribution to mwp-IA. The Ross Sea is also plausible as a significant contributor (similar to 5m) from a sea-level perspective, but glacio-geological field observations are not compatible with such a large and rapid melt from this region. Our results suggest that the Lambert Glacier component of the East Antarctic ice sheet experienced significant retreat at the time of mwp-IA, but only contributed similar to 0.15m (eustatic sea-level change). All of the ice models considered under-predicted the isostatic component of the sea-level response in the Antarctic Peninsula and the Soya Coast region of the East Antarctic ice sheet, indicating that the maximum ice thickness in these regions is underestimated. It is therefore plausible that ice melt from these areas, the Antarctic Peninsula in particular, could have made a significant contribution to mwp-IA. (c) 2007 Elsevier Ltd. All rights reserved.</t>
  </si>
  <si>
    <t>Univ Durham, Dept Earth Sci, Sci Labs, Durham DH1 3LE, England; Univ Durham, Dept Geog, Sci Labs, Durham DH1 3LE, England; British Antarctic Survey, Cambridge CB3 0ET, England; Vrije Univ Brussels, Dept Geog, B-1050 Brussels, Belgium; Alfred Wegener Inst Polar &amp; Marine Res, D-27515 Bremerhaven, Germany</t>
  </si>
  <si>
    <t>Durham University; Durham University; UK Research &amp; Innovation (UKRI); Natural Environment Research Council (NERC); NERC British Antarctic Survey; Vrije Universiteit Brussel; Helmholtz Association; Alfred Wegener Institute, Helmholtz Centre for Polar &amp; Marine Research</t>
  </si>
  <si>
    <t>Milne, GA (corresponding author), Univ Durham, Dept Earth Sci, Sci Labs, Durham DH1 3LE, England.</t>
  </si>
  <si>
    <t>g.a.milne@durham.ac.uk</t>
  </si>
  <si>
    <t>Bentley, Michael J/F-7386-2011; Huybrechts, Philippe/J-5278-2013</t>
  </si>
  <si>
    <t>Bentley, Michael J/0000-0002-2048-0019; Huybrechts, Philippe/0000-0003-1406-0525</t>
  </si>
  <si>
    <t>10.1016/j.quascirev.2007.06.011</t>
  </si>
  <si>
    <t>WOS:000251378800006</t>
  </si>
  <si>
    <t>Campos, M; Mothes, B; Mendes, ILV</t>
  </si>
  <si>
    <t>Campos, Mauricio; Mothes, Beatriz; Mendes, Inga L. Veitenheimer</t>
  </si>
  <si>
    <t>Antarctic sponges (Porifera, demospongiae) of the South Shetland Islands and vicinity. Part I. Spirophorida, Astrophorida, Hadromerida, Halichondrida and Haplosclerida</t>
  </si>
  <si>
    <t>REVISTA BRASILEIRA DE ZOOLOGIA</t>
  </si>
  <si>
    <t>Antarctica; PROANTAR; taxonomy</t>
  </si>
  <si>
    <t>The aim of this work is to redescribe 11 species of sponges collected through the Brazilian Antarctic Program (PROANTAR), at the South Shetland Islands and vicinity. New information is provided on the Antarctic sponge fauna, in regard to species richness and the geographical and bathymetric distributions of identified species. The following species were identified and are here illustrated and fully described: Cinachyra antarctica (Carter, 1872), Cinachyra barbata Sollas, 1886, Craniella leptoderma (Sollas, 1886), Tethyopsis longispinum (Lendenfeld, 1907), Polymastia invaginata Kirkpatrick, 1907, Homaxinella balfourensis (Ridley &amp; Dendy, 1886), Suberites montiniger Carter, 1880, Halichondria (Eumastia) attenuate (Topsent, 1915), Haliclona (Soestella) chilensis (Thiele, 1905), Hemigellius bidens (Topsent,1901) and Calyx arcuarius (Topsent,1913). Two new records are given for the Antarctic continent: Halichondria (Eumastia) attenuata (Topsent, 1915) and Haliclona (Soestella) chilensis (Thiele, 1905). Tethyopsis longispinum (Lendenfeld,1907), Suberites montiniger Carter, 1880 and Hemigellius bidens (Topsent,1901) represent the first records for this sector of the continent. Bathymetric data are extended for T. longispinum and H. attenuata.</t>
  </si>
  <si>
    <t>Univ Fed Rio Grande do Sul, Inst Biociencias, Program Pos Graduacao Biol Anim, BR-90046900 Porto Alegre, RS, Brazil; Fdn Zoobotanica Rio Grande Sul, Museu Ciencias Nat, BR-90690 Porto Alegre, RS, Brazil; Univ Fed Rio Grande do Sul, Programa Pos Graduacao Biol Anom, BR-91501 Porto Alegre, RS, Brazil</t>
  </si>
  <si>
    <t>Universidade Federal do Rio Grande do Sul; Universidade Federal do Rio Grande do Sul</t>
  </si>
  <si>
    <t>Campos, M (corresponding author), Univ Fed Rio Grande do Sul, Inst Biociencias, Program Pos Graduacao Biol Anim, BR-90046900 Porto Alegre, RS, Brazil.</t>
  </si>
  <si>
    <t>mrcpoa@hotmail.com; bmothes@fzb.rs.gov.br; inga.mendes@ufrgs.br</t>
  </si>
  <si>
    <t>SOC BRASILEIRA ZOOLOGIA, UNIV FEDERAL PARANA</t>
  </si>
  <si>
    <t>CURITIBA</t>
  </si>
  <si>
    <t>CAIXA POSTAL 19020, CURITIBA, PARANA 81531-980, BRAZIL</t>
  </si>
  <si>
    <t>0101-8175</t>
  </si>
  <si>
    <t>REV BRAS ZOOL</t>
  </si>
  <si>
    <t>Rev. Bras. Zool.</t>
  </si>
  <si>
    <t>10.1590/S0101-81752007000300021</t>
  </si>
  <si>
    <t>221EE</t>
  </si>
  <si>
    <t>WOS:000250209400021</t>
  </si>
  <si>
    <t>Antarctic sponges (Porifera, demospongiae) of the south Shetland islands and vicinity. Part II. Poecilosclerida</t>
  </si>
  <si>
    <t>Antarctica; new occurrences; PROANTAR; taxonomy</t>
  </si>
  <si>
    <t>KIRKPATRICKIA-VARIALOSA; WEDDELL SEA; ALKALOIDS</t>
  </si>
  <si>
    <t>In the present study 16 species are registered for the South Shetland Islands and vicinity: Acanthorhabdus fragilis Burton, 1929, lophon unicornis Topsent,1907, Clathria (Axosuberites) flabellata (Topsent,1916), Clathria (Axosuberites) nidificata (Kirkpatrick,1907), Kirkpatrickia variolosa (Kirkpatrick,1907), Myxodoryx hanitschi (Kirkpatrick,1907), lotroata somovi (Koltun, 1964), Tedania (Tedaniopsis) charcod (Topsent, 1907), Tedania (Tedaniopsis) vanhoffeni (Hentschel, 1914), Tedania (Tedaniopsis) oxeata (Topsent,1916), Isodictya kerguelenensis (Ridley &amp; Dendy,1886), Isodictya lankesteri (Kirkpatrick, 1907), Isodictya toxophila Burton, 1932, Isodictya bentarti Rios, Cristobo &amp; Urgorri, 2004, Latrunculio (Latrunculia) brevis Ridley &amp; Dendy,1886 and Latrunculia (Latrunculia) biformis (Kirkpatrick,1908).Amongst the identified species, five are new occurrences. for the studied region, three have their bathymetric limit extended and the others are confirmed for the studied area.</t>
  </si>
  <si>
    <t>Fundacao Zoobot Rio Grande do Sul, Museu Ciencias Nat, Contribut Number Programa Pos Graduacao Biol Anim, BR-90046900 Porto Alegre, RS, Brazil; Fundacao Zoobotan Rio Grande Sul Rua Salvador Fra, Museu Ciencias Nat, BR-90690000 Porto Alegre, RS, Brazil; Univ Fed Rio Grande do Sul, Programa Posgrad Biol Anim, BR-91501970 Porto Alegre, RS, Brazil</t>
  </si>
  <si>
    <t>Universidade Federal do Rio Grande do Sul</t>
  </si>
  <si>
    <t>Campos, M (corresponding author), Fundacao Zoobot Rio Grande do Sul, Museu Ciencias Nat, Contribut Number Programa Pos Graduacao Biol Anim, Rua Salvador Franca 1427, BR-90046900 Porto Alegre, RS, Brazil.</t>
  </si>
  <si>
    <t>10.1590/S0101-81752007000300027</t>
  </si>
  <si>
    <t>Green Published, Green Submitted, gold</t>
  </si>
  <si>
    <t>WOS:000250209400027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</si>
</sst>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74</v>
      </c>
      <c r="AD2" t="s">
        <v>74</v>
      </c>
      <c r="AE2" t="s">
        <v>74</v>
      </c>
      <c r="AF2" t="s">
        <v>74</v>
      </c>
      <c r="AG2">
        <v>60</v>
      </c>
      <c r="AH2">
        <v>104</v>
      </c>
      <c r="AI2">
        <v>111</v>
      </c>
      <c r="AJ2">
        <v>0</v>
      </c>
      <c r="AK2">
        <v>38</v>
      </c>
      <c r="AL2" t="s">
        <v>88</v>
      </c>
      <c r="AM2" t="s">
        <v>89</v>
      </c>
      <c r="AN2" t="s">
        <v>90</v>
      </c>
      <c r="AO2" t="s">
        <v>91</v>
      </c>
      <c r="AP2" t="s">
        <v>92</v>
      </c>
      <c r="AQ2" t="s">
        <v>74</v>
      </c>
      <c r="AR2" t="s">
        <v>77</v>
      </c>
      <c r="AS2" t="s">
        <v>93</v>
      </c>
      <c r="AT2" t="s">
        <v>94</v>
      </c>
      <c r="AU2">
        <v>2008</v>
      </c>
      <c r="AV2">
        <v>20</v>
      </c>
      <c r="AW2">
        <v>1</v>
      </c>
      <c r="AX2" t="s">
        <v>74</v>
      </c>
      <c r="AY2" t="s">
        <v>74</v>
      </c>
      <c r="AZ2" t="s">
        <v>74</v>
      </c>
      <c r="BA2" t="s">
        <v>74</v>
      </c>
      <c r="BB2">
        <v>74</v>
      </c>
      <c r="BC2">
        <v>81</v>
      </c>
      <c r="BD2" t="s">
        <v>74</v>
      </c>
      <c r="BE2" t="s">
        <v>95</v>
      </c>
      <c r="BF2" t="str">
        <f>HYPERLINK("http://dx.doi.org/10.1111/j.1365-3121.2007.00789.x","http://dx.doi.org/10.1111/j.1365-3121.2007.00789.x")</f>
        <v>http://dx.doi.org/10.1111/j.1365-3121.2007.00789.x</v>
      </c>
      <c r="BG2" t="s">
        <v>74</v>
      </c>
      <c r="BH2" t="s">
        <v>74</v>
      </c>
      <c r="BI2">
        <v>8</v>
      </c>
      <c r="BJ2" t="s">
        <v>96</v>
      </c>
      <c r="BK2" t="s">
        <v>97</v>
      </c>
      <c r="BL2" t="s">
        <v>98</v>
      </c>
      <c r="BM2" t="s">
        <v>99</v>
      </c>
      <c r="BN2" t="s">
        <v>74</v>
      </c>
      <c r="BO2" t="s">
        <v>74</v>
      </c>
      <c r="BP2" t="s">
        <v>74</v>
      </c>
      <c r="BQ2" t="s">
        <v>74</v>
      </c>
      <c r="BR2" t="s">
        <v>100</v>
      </c>
      <c r="BS2" t="s">
        <v>101</v>
      </c>
      <c r="BT2" t="str">
        <f>HYPERLINK("https%3A%2F%2Fwww.webofscience.com%2Fwos%2Fwoscc%2Ffull-record%2FWOS:000252589100010","View Full Record in Web of Science")</f>
        <v>View Full Record in Web of Science</v>
      </c>
    </row>
    <row r="3" spans="1:72" x14ac:dyDescent="0.15">
      <c r="A3" t="s">
        <v>72</v>
      </c>
      <c r="B3" t="s">
        <v>102</v>
      </c>
      <c r="C3" t="s">
        <v>74</v>
      </c>
      <c r="D3" t="s">
        <v>74</v>
      </c>
      <c r="E3" t="s">
        <v>74</v>
      </c>
      <c r="F3" t="s">
        <v>103</v>
      </c>
      <c r="G3" t="s">
        <v>74</v>
      </c>
      <c r="H3" t="s">
        <v>74</v>
      </c>
      <c r="I3" t="s">
        <v>104</v>
      </c>
      <c r="J3" t="s">
        <v>105</v>
      </c>
      <c r="K3" t="s">
        <v>74</v>
      </c>
      <c r="L3" t="s">
        <v>74</v>
      </c>
      <c r="M3" t="s">
        <v>78</v>
      </c>
      <c r="N3" t="s">
        <v>106</v>
      </c>
      <c r="O3" t="s">
        <v>74</v>
      </c>
      <c r="P3" t="s">
        <v>74</v>
      </c>
      <c r="Q3" t="s">
        <v>74</v>
      </c>
      <c r="R3" t="s">
        <v>74</v>
      </c>
      <c r="S3" t="s">
        <v>74</v>
      </c>
      <c r="T3" t="s">
        <v>74</v>
      </c>
      <c r="U3" t="s">
        <v>107</v>
      </c>
      <c r="V3" t="s">
        <v>108</v>
      </c>
      <c r="W3" t="s">
        <v>109</v>
      </c>
      <c r="X3" t="s">
        <v>110</v>
      </c>
      <c r="Y3" t="s">
        <v>111</v>
      </c>
      <c r="Z3" t="s">
        <v>112</v>
      </c>
      <c r="AA3" t="s">
        <v>113</v>
      </c>
      <c r="AB3" t="s">
        <v>114</v>
      </c>
      <c r="AC3" t="s">
        <v>115</v>
      </c>
      <c r="AD3" t="s">
        <v>116</v>
      </c>
      <c r="AE3" t="s">
        <v>74</v>
      </c>
      <c r="AF3" t="s">
        <v>74</v>
      </c>
      <c r="AG3">
        <v>77</v>
      </c>
      <c r="AH3">
        <v>628</v>
      </c>
      <c r="AI3">
        <v>747</v>
      </c>
      <c r="AJ3">
        <v>2</v>
      </c>
      <c r="AK3">
        <v>333</v>
      </c>
      <c r="AL3" t="s">
        <v>117</v>
      </c>
      <c r="AM3" t="s">
        <v>118</v>
      </c>
      <c r="AN3" t="s">
        <v>119</v>
      </c>
      <c r="AO3" t="s">
        <v>120</v>
      </c>
      <c r="AP3" t="s">
        <v>121</v>
      </c>
      <c r="AQ3" t="s">
        <v>74</v>
      </c>
      <c r="AR3" t="s">
        <v>122</v>
      </c>
      <c r="AS3" t="s">
        <v>123</v>
      </c>
      <c r="AT3" t="s">
        <v>94</v>
      </c>
      <c r="AU3">
        <v>2008</v>
      </c>
      <c r="AV3">
        <v>23</v>
      </c>
      <c r="AW3">
        <v>2</v>
      </c>
      <c r="AX3" t="s">
        <v>74</v>
      </c>
      <c r="AY3" t="s">
        <v>74</v>
      </c>
      <c r="AZ3" t="s">
        <v>74</v>
      </c>
      <c r="BA3" t="s">
        <v>74</v>
      </c>
      <c r="BB3">
        <v>87</v>
      </c>
      <c r="BC3">
        <v>94</v>
      </c>
      <c r="BD3" t="s">
        <v>74</v>
      </c>
      <c r="BE3" t="s">
        <v>124</v>
      </c>
      <c r="BF3" t="str">
        <f>HYPERLINK("http://dx.doi.org/10.1016/j.tree.2007.10.009","http://dx.doi.org/10.1016/j.tree.2007.10.009")</f>
        <v>http://dx.doi.org/10.1016/j.tree.2007.10.009</v>
      </c>
      <c r="BG3" t="s">
        <v>74</v>
      </c>
      <c r="BH3" t="s">
        <v>74</v>
      </c>
      <c r="BI3">
        <v>8</v>
      </c>
      <c r="BJ3" t="s">
        <v>125</v>
      </c>
      <c r="BK3" t="s">
        <v>97</v>
      </c>
      <c r="BL3" t="s">
        <v>126</v>
      </c>
      <c r="BM3" t="s">
        <v>127</v>
      </c>
      <c r="BN3">
        <v>18191283</v>
      </c>
      <c r="BO3" t="s">
        <v>128</v>
      </c>
      <c r="BP3" t="s">
        <v>74</v>
      </c>
      <c r="BQ3" t="s">
        <v>74</v>
      </c>
      <c r="BR3" t="s">
        <v>100</v>
      </c>
      <c r="BS3" t="s">
        <v>129</v>
      </c>
      <c r="BT3" t="str">
        <f>HYPERLINK("https%3A%2F%2Fwww.webofscience.com%2Fwos%2Fwoscc%2Ffull-record%2FWOS:000253620000007","View Full Record in Web of Science")</f>
        <v>View Full Record in Web of Science</v>
      </c>
    </row>
    <row r="4" spans="1:72" x14ac:dyDescent="0.15">
      <c r="A4" t="s">
        <v>72</v>
      </c>
      <c r="B4" t="s">
        <v>130</v>
      </c>
      <c r="C4" t="s">
        <v>74</v>
      </c>
      <c r="D4" t="s">
        <v>74</v>
      </c>
      <c r="E4" t="s">
        <v>74</v>
      </c>
      <c r="F4" t="s">
        <v>131</v>
      </c>
      <c r="G4" t="s">
        <v>74</v>
      </c>
      <c r="H4" t="s">
        <v>74</v>
      </c>
      <c r="I4" t="s">
        <v>132</v>
      </c>
      <c r="J4" t="s">
        <v>133</v>
      </c>
      <c r="K4" t="s">
        <v>74</v>
      </c>
      <c r="L4" t="s">
        <v>74</v>
      </c>
      <c r="M4" t="s">
        <v>78</v>
      </c>
      <c r="N4" t="s">
        <v>79</v>
      </c>
      <c r="O4" t="s">
        <v>74</v>
      </c>
      <c r="P4" t="s">
        <v>74</v>
      </c>
      <c r="Q4" t="s">
        <v>74</v>
      </c>
      <c r="R4" t="s">
        <v>74</v>
      </c>
      <c r="S4" t="s">
        <v>74</v>
      </c>
      <c r="T4" t="s">
        <v>134</v>
      </c>
      <c r="U4" t="s">
        <v>135</v>
      </c>
      <c r="V4" t="s">
        <v>136</v>
      </c>
      <c r="W4" t="s">
        <v>137</v>
      </c>
      <c r="X4" t="s">
        <v>138</v>
      </c>
      <c r="Y4" t="s">
        <v>139</v>
      </c>
      <c r="Z4" t="s">
        <v>140</v>
      </c>
      <c r="AA4" t="s">
        <v>141</v>
      </c>
      <c r="AB4" t="s">
        <v>142</v>
      </c>
      <c r="AC4" t="s">
        <v>74</v>
      </c>
      <c r="AD4" t="s">
        <v>74</v>
      </c>
      <c r="AE4" t="s">
        <v>74</v>
      </c>
      <c r="AF4" t="s">
        <v>74</v>
      </c>
      <c r="AG4">
        <v>25</v>
      </c>
      <c r="AH4">
        <v>14</v>
      </c>
      <c r="AI4">
        <v>15</v>
      </c>
      <c r="AJ4">
        <v>1</v>
      </c>
      <c r="AK4">
        <v>11</v>
      </c>
      <c r="AL4" t="s">
        <v>143</v>
      </c>
      <c r="AM4" t="s">
        <v>144</v>
      </c>
      <c r="AN4" t="s">
        <v>145</v>
      </c>
      <c r="AO4" t="s">
        <v>146</v>
      </c>
      <c r="AP4" t="s">
        <v>147</v>
      </c>
      <c r="AQ4" t="s">
        <v>74</v>
      </c>
      <c r="AR4" t="s">
        <v>148</v>
      </c>
      <c r="AS4" t="s">
        <v>149</v>
      </c>
      <c r="AT4" t="s">
        <v>94</v>
      </c>
      <c r="AU4">
        <v>2008</v>
      </c>
      <c r="AV4">
        <v>188</v>
      </c>
      <c r="AW4" t="s">
        <v>150</v>
      </c>
      <c r="AX4" t="s">
        <v>74</v>
      </c>
      <c r="AY4" t="s">
        <v>74</v>
      </c>
      <c r="AZ4" t="s">
        <v>74</v>
      </c>
      <c r="BA4" t="s">
        <v>74</v>
      </c>
      <c r="BB4">
        <v>67</v>
      </c>
      <c r="BC4">
        <v>80</v>
      </c>
      <c r="BD4" t="s">
        <v>74</v>
      </c>
      <c r="BE4" t="s">
        <v>151</v>
      </c>
      <c r="BF4" t="str">
        <f>HYPERLINK("http://dx.doi.org/10.1007/s11270-007-9525-7","http://dx.doi.org/10.1007/s11270-007-9525-7")</f>
        <v>http://dx.doi.org/10.1007/s11270-007-9525-7</v>
      </c>
      <c r="BG4" t="s">
        <v>74</v>
      </c>
      <c r="BH4" t="s">
        <v>74</v>
      </c>
      <c r="BI4">
        <v>14</v>
      </c>
      <c r="BJ4" t="s">
        <v>152</v>
      </c>
      <c r="BK4" t="s">
        <v>97</v>
      </c>
      <c r="BL4" t="s">
        <v>153</v>
      </c>
      <c r="BM4" t="s">
        <v>154</v>
      </c>
      <c r="BN4" t="s">
        <v>74</v>
      </c>
      <c r="BO4" t="s">
        <v>74</v>
      </c>
      <c r="BP4" t="s">
        <v>74</v>
      </c>
      <c r="BQ4" t="s">
        <v>74</v>
      </c>
      <c r="BR4" t="s">
        <v>100</v>
      </c>
      <c r="BS4" t="s">
        <v>155</v>
      </c>
      <c r="BT4" t="str">
        <f>HYPERLINK("https%3A%2F%2Fwww.webofscience.com%2Fwos%2Fwoscc%2Ffull-record%2FWOS:000252476700006","View Full Record in Web of Science")</f>
        <v>View Full Record in Web of Science</v>
      </c>
    </row>
    <row r="5" spans="1:72" x14ac:dyDescent="0.15">
      <c r="A5" t="s">
        <v>72</v>
      </c>
      <c r="B5" t="s">
        <v>156</v>
      </c>
      <c r="C5" t="s">
        <v>74</v>
      </c>
      <c r="D5" t="s">
        <v>74</v>
      </c>
      <c r="E5" t="s">
        <v>74</v>
      </c>
      <c r="F5" t="s">
        <v>157</v>
      </c>
      <c r="G5" t="s">
        <v>74</v>
      </c>
      <c r="H5" t="s">
        <v>74</v>
      </c>
      <c r="I5" t="s">
        <v>158</v>
      </c>
      <c r="J5" t="s">
        <v>159</v>
      </c>
      <c r="K5" t="s">
        <v>74</v>
      </c>
      <c r="L5" t="s">
        <v>74</v>
      </c>
      <c r="M5" t="s">
        <v>78</v>
      </c>
      <c r="N5" t="s">
        <v>79</v>
      </c>
      <c r="O5" t="s">
        <v>74</v>
      </c>
      <c r="P5" t="s">
        <v>74</v>
      </c>
      <c r="Q5" t="s">
        <v>74</v>
      </c>
      <c r="R5" t="s">
        <v>74</v>
      </c>
      <c r="S5" t="s">
        <v>74</v>
      </c>
      <c r="T5" t="s">
        <v>160</v>
      </c>
      <c r="U5" t="s">
        <v>161</v>
      </c>
      <c r="V5" t="s">
        <v>162</v>
      </c>
      <c r="W5" t="s">
        <v>163</v>
      </c>
      <c r="X5" t="s">
        <v>164</v>
      </c>
      <c r="Y5" t="s">
        <v>165</v>
      </c>
      <c r="Z5" t="s">
        <v>166</v>
      </c>
      <c r="AA5" t="s">
        <v>74</v>
      </c>
      <c r="AB5" t="s">
        <v>74</v>
      </c>
      <c r="AC5" t="s">
        <v>74</v>
      </c>
      <c r="AD5" t="s">
        <v>74</v>
      </c>
      <c r="AE5" t="s">
        <v>74</v>
      </c>
      <c r="AF5" t="s">
        <v>74</v>
      </c>
      <c r="AG5">
        <v>59</v>
      </c>
      <c r="AH5">
        <v>21</v>
      </c>
      <c r="AI5">
        <v>24</v>
      </c>
      <c r="AJ5">
        <v>2</v>
      </c>
      <c r="AK5">
        <v>31</v>
      </c>
      <c r="AL5" t="s">
        <v>167</v>
      </c>
      <c r="AM5" t="s">
        <v>168</v>
      </c>
      <c r="AN5" t="s">
        <v>169</v>
      </c>
      <c r="AO5" t="s">
        <v>170</v>
      </c>
      <c r="AP5" t="s">
        <v>171</v>
      </c>
      <c r="AQ5" t="s">
        <v>74</v>
      </c>
      <c r="AR5" t="s">
        <v>172</v>
      </c>
      <c r="AS5" t="s">
        <v>173</v>
      </c>
      <c r="AT5" t="s">
        <v>174</v>
      </c>
      <c r="AU5">
        <v>2008</v>
      </c>
      <c r="AV5">
        <v>50</v>
      </c>
      <c r="AW5">
        <v>2</v>
      </c>
      <c r="AX5" t="s">
        <v>74</v>
      </c>
      <c r="AY5" t="s">
        <v>74</v>
      </c>
      <c r="AZ5" t="s">
        <v>74</v>
      </c>
      <c r="BA5" t="s">
        <v>74</v>
      </c>
      <c r="BB5">
        <v>157</v>
      </c>
      <c r="BC5">
        <v>167</v>
      </c>
      <c r="BD5" t="s">
        <v>74</v>
      </c>
      <c r="BE5" t="s">
        <v>175</v>
      </c>
      <c r="BF5" t="str">
        <f>HYPERLINK("http://dx.doi.org/10.3354/ame01149","http://dx.doi.org/10.3354/ame01149")</f>
        <v>http://dx.doi.org/10.3354/ame01149</v>
      </c>
      <c r="BG5" t="s">
        <v>74</v>
      </c>
      <c r="BH5" t="s">
        <v>74</v>
      </c>
      <c r="BI5">
        <v>11</v>
      </c>
      <c r="BJ5" t="s">
        <v>176</v>
      </c>
      <c r="BK5" t="s">
        <v>97</v>
      </c>
      <c r="BL5" t="s">
        <v>177</v>
      </c>
      <c r="BM5" t="s">
        <v>178</v>
      </c>
      <c r="BN5" t="s">
        <v>74</v>
      </c>
      <c r="BO5" t="s">
        <v>179</v>
      </c>
      <c r="BP5" t="s">
        <v>74</v>
      </c>
      <c r="BQ5" t="s">
        <v>74</v>
      </c>
      <c r="BR5" t="s">
        <v>100</v>
      </c>
      <c r="BS5" t="s">
        <v>180</v>
      </c>
      <c r="BT5" t="str">
        <f>HYPERLINK("https%3A%2F%2Fwww.webofscience.com%2Fwos%2Fwoscc%2Ffull-record%2FWOS:000253448900006","View Full Record in Web of Science")</f>
        <v>View Full Record in Web of Science</v>
      </c>
    </row>
    <row r="6" spans="1:72" x14ac:dyDescent="0.15">
      <c r="A6" t="s">
        <v>72</v>
      </c>
      <c r="B6" t="s">
        <v>181</v>
      </c>
      <c r="C6" t="s">
        <v>74</v>
      </c>
      <c r="D6" t="s">
        <v>74</v>
      </c>
      <c r="E6" t="s">
        <v>74</v>
      </c>
      <c r="F6" t="s">
        <v>182</v>
      </c>
      <c r="G6" t="s">
        <v>74</v>
      </c>
      <c r="H6" t="s">
        <v>74</v>
      </c>
      <c r="I6" t="s">
        <v>183</v>
      </c>
      <c r="J6" t="s">
        <v>184</v>
      </c>
      <c r="K6" t="s">
        <v>74</v>
      </c>
      <c r="L6" t="s">
        <v>74</v>
      </c>
      <c r="M6" t="s">
        <v>78</v>
      </c>
      <c r="N6" t="s">
        <v>79</v>
      </c>
      <c r="O6" t="s">
        <v>74</v>
      </c>
      <c r="P6" t="s">
        <v>74</v>
      </c>
      <c r="Q6" t="s">
        <v>74</v>
      </c>
      <c r="R6" t="s">
        <v>74</v>
      </c>
      <c r="S6" t="s">
        <v>74</v>
      </c>
      <c r="T6" t="s">
        <v>74</v>
      </c>
      <c r="U6" t="s">
        <v>185</v>
      </c>
      <c r="V6" t="s">
        <v>186</v>
      </c>
      <c r="W6" t="s">
        <v>187</v>
      </c>
      <c r="X6" t="s">
        <v>188</v>
      </c>
      <c r="Y6" t="s">
        <v>189</v>
      </c>
      <c r="Z6" t="s">
        <v>190</v>
      </c>
      <c r="AA6" t="s">
        <v>74</v>
      </c>
      <c r="AB6" t="s">
        <v>74</v>
      </c>
      <c r="AC6" t="s">
        <v>191</v>
      </c>
      <c r="AD6" t="s">
        <v>192</v>
      </c>
      <c r="AE6" t="s">
        <v>74</v>
      </c>
      <c r="AF6" t="s">
        <v>74</v>
      </c>
      <c r="AG6">
        <v>63</v>
      </c>
      <c r="AH6">
        <v>35</v>
      </c>
      <c r="AI6">
        <v>42</v>
      </c>
      <c r="AJ6">
        <v>0</v>
      </c>
      <c r="AK6">
        <v>19</v>
      </c>
      <c r="AL6" t="s">
        <v>193</v>
      </c>
      <c r="AM6" t="s">
        <v>194</v>
      </c>
      <c r="AN6" t="s">
        <v>195</v>
      </c>
      <c r="AO6" t="s">
        <v>196</v>
      </c>
      <c r="AP6" t="s">
        <v>197</v>
      </c>
      <c r="AQ6" t="s">
        <v>74</v>
      </c>
      <c r="AR6" t="s">
        <v>198</v>
      </c>
      <c r="AS6" t="s">
        <v>199</v>
      </c>
      <c r="AT6" t="s">
        <v>200</v>
      </c>
      <c r="AU6">
        <v>2008</v>
      </c>
      <c r="AV6">
        <v>113</v>
      </c>
      <c r="AW6" t="s">
        <v>201</v>
      </c>
      <c r="AX6" t="s">
        <v>74</v>
      </c>
      <c r="AY6" t="s">
        <v>74</v>
      </c>
      <c r="AZ6" t="s">
        <v>74</v>
      </c>
      <c r="BA6" t="s">
        <v>74</v>
      </c>
      <c r="BB6" t="s">
        <v>74</v>
      </c>
      <c r="BC6" t="s">
        <v>74</v>
      </c>
      <c r="BD6" t="s">
        <v>202</v>
      </c>
      <c r="BE6" t="s">
        <v>203</v>
      </c>
      <c r="BF6" t="str">
        <f>HYPERLINK("http://dx.doi.org/10.1029/2007JD008790","http://dx.doi.org/10.1029/2007JD008790")</f>
        <v>http://dx.doi.org/10.1029/2007JD008790</v>
      </c>
      <c r="BG6" t="s">
        <v>74</v>
      </c>
      <c r="BH6" t="s">
        <v>74</v>
      </c>
      <c r="BI6">
        <v>11</v>
      </c>
      <c r="BJ6" t="s">
        <v>204</v>
      </c>
      <c r="BK6" t="s">
        <v>97</v>
      </c>
      <c r="BL6" t="s">
        <v>204</v>
      </c>
      <c r="BM6" t="s">
        <v>205</v>
      </c>
      <c r="BN6" t="s">
        <v>74</v>
      </c>
      <c r="BO6" t="s">
        <v>206</v>
      </c>
      <c r="BP6" t="s">
        <v>74</v>
      </c>
      <c r="BQ6" t="s">
        <v>74</v>
      </c>
      <c r="BR6" t="s">
        <v>100</v>
      </c>
      <c r="BS6" t="s">
        <v>207</v>
      </c>
      <c r="BT6" t="str">
        <f>HYPERLINK("https%3A%2F%2Fwww.webofscience.com%2Fwos%2Fwoscc%2Ffull-record%2FWOS:000252824800001","View Full Record in Web of Science")</f>
        <v>View Full Record in Web of Science</v>
      </c>
    </row>
    <row r="7" spans="1:72" x14ac:dyDescent="0.15">
      <c r="A7" t="s">
        <v>72</v>
      </c>
      <c r="B7" t="s">
        <v>208</v>
      </c>
      <c r="C7" t="s">
        <v>74</v>
      </c>
      <c r="D7" t="s">
        <v>74</v>
      </c>
      <c r="E7" t="s">
        <v>74</v>
      </c>
      <c r="F7" t="s">
        <v>209</v>
      </c>
      <c r="G7" t="s">
        <v>74</v>
      </c>
      <c r="H7" t="s">
        <v>74</v>
      </c>
      <c r="I7" t="s">
        <v>210</v>
      </c>
      <c r="J7" t="s">
        <v>211</v>
      </c>
      <c r="K7" t="s">
        <v>74</v>
      </c>
      <c r="L7" t="s">
        <v>74</v>
      </c>
      <c r="M7" t="s">
        <v>78</v>
      </c>
      <c r="N7" t="s">
        <v>79</v>
      </c>
      <c r="O7" t="s">
        <v>74</v>
      </c>
      <c r="P7" t="s">
        <v>74</v>
      </c>
      <c r="Q7" t="s">
        <v>74</v>
      </c>
      <c r="R7" t="s">
        <v>74</v>
      </c>
      <c r="S7" t="s">
        <v>74</v>
      </c>
      <c r="T7" t="s">
        <v>74</v>
      </c>
      <c r="U7" t="s">
        <v>212</v>
      </c>
      <c r="V7" t="s">
        <v>213</v>
      </c>
      <c r="W7" t="s">
        <v>214</v>
      </c>
      <c r="X7" t="s">
        <v>215</v>
      </c>
      <c r="Y7" t="s">
        <v>216</v>
      </c>
      <c r="Z7" t="s">
        <v>217</v>
      </c>
      <c r="AA7" t="s">
        <v>218</v>
      </c>
      <c r="AB7" t="s">
        <v>219</v>
      </c>
      <c r="AC7" t="s">
        <v>74</v>
      </c>
      <c r="AD7" t="s">
        <v>74</v>
      </c>
      <c r="AE7" t="s">
        <v>74</v>
      </c>
      <c r="AF7" t="s">
        <v>74</v>
      </c>
      <c r="AG7">
        <v>62</v>
      </c>
      <c r="AH7">
        <v>20</v>
      </c>
      <c r="AI7">
        <v>20</v>
      </c>
      <c r="AJ7">
        <v>0</v>
      </c>
      <c r="AK7">
        <v>9</v>
      </c>
      <c r="AL7" t="s">
        <v>220</v>
      </c>
      <c r="AM7" t="s">
        <v>118</v>
      </c>
      <c r="AN7" t="s">
        <v>221</v>
      </c>
      <c r="AO7" t="s">
        <v>222</v>
      </c>
      <c r="AP7" t="s">
        <v>74</v>
      </c>
      <c r="AQ7" t="s">
        <v>74</v>
      </c>
      <c r="AR7" t="s">
        <v>211</v>
      </c>
      <c r="AS7" t="s">
        <v>223</v>
      </c>
      <c r="AT7" t="s">
        <v>224</v>
      </c>
      <c r="AU7">
        <v>2008</v>
      </c>
      <c r="AV7">
        <v>9</v>
      </c>
      <c r="AW7" t="s">
        <v>74</v>
      </c>
      <c r="AX7" t="s">
        <v>74</v>
      </c>
      <c r="AY7" t="s">
        <v>74</v>
      </c>
      <c r="AZ7" t="s">
        <v>74</v>
      </c>
      <c r="BA7" t="s">
        <v>74</v>
      </c>
      <c r="BB7" t="s">
        <v>74</v>
      </c>
      <c r="BC7" t="s">
        <v>74</v>
      </c>
      <c r="BD7">
        <v>45</v>
      </c>
      <c r="BE7" t="s">
        <v>225</v>
      </c>
      <c r="BF7" t="str">
        <f>HYPERLINK("http://dx.doi.org/10.1186/1471-2164-9-45","http://dx.doi.org/10.1186/1471-2164-9-45")</f>
        <v>http://dx.doi.org/10.1186/1471-2164-9-45</v>
      </c>
      <c r="BG7" t="s">
        <v>74</v>
      </c>
      <c r="BH7" t="s">
        <v>74</v>
      </c>
      <c r="BI7">
        <v>14</v>
      </c>
      <c r="BJ7" t="s">
        <v>226</v>
      </c>
      <c r="BK7" t="s">
        <v>97</v>
      </c>
      <c r="BL7" t="s">
        <v>226</v>
      </c>
      <c r="BM7" t="s">
        <v>227</v>
      </c>
      <c r="BN7">
        <v>18226200</v>
      </c>
      <c r="BO7" t="s">
        <v>228</v>
      </c>
      <c r="BP7" t="s">
        <v>74</v>
      </c>
      <c r="BQ7" t="s">
        <v>74</v>
      </c>
      <c r="BR7" t="s">
        <v>100</v>
      </c>
      <c r="BS7" t="s">
        <v>229</v>
      </c>
      <c r="BT7" t="str">
        <f>HYPERLINK("https%3A%2F%2Fwww.webofscience.com%2Fwos%2Fwoscc%2Ffull-record%2FWOS:000254284400001","View Full Record in Web of Science")</f>
        <v>View Full Record in Web of Science</v>
      </c>
    </row>
    <row r="8" spans="1:72" x14ac:dyDescent="0.15">
      <c r="A8" t="s">
        <v>72</v>
      </c>
      <c r="B8" t="s">
        <v>230</v>
      </c>
      <c r="C8" t="s">
        <v>74</v>
      </c>
      <c r="D8" t="s">
        <v>74</v>
      </c>
      <c r="E8" t="s">
        <v>74</v>
      </c>
      <c r="F8" t="s">
        <v>231</v>
      </c>
      <c r="G8" t="s">
        <v>74</v>
      </c>
      <c r="H8" t="s">
        <v>74</v>
      </c>
      <c r="I8" t="s">
        <v>232</v>
      </c>
      <c r="J8" t="s">
        <v>233</v>
      </c>
      <c r="K8" t="s">
        <v>74</v>
      </c>
      <c r="L8" t="s">
        <v>74</v>
      </c>
      <c r="M8" t="s">
        <v>78</v>
      </c>
      <c r="N8" t="s">
        <v>79</v>
      </c>
      <c r="O8" t="s">
        <v>74</v>
      </c>
      <c r="P8" t="s">
        <v>74</v>
      </c>
      <c r="Q8" t="s">
        <v>74</v>
      </c>
      <c r="R8" t="s">
        <v>74</v>
      </c>
      <c r="S8" t="s">
        <v>74</v>
      </c>
      <c r="T8" t="s">
        <v>74</v>
      </c>
      <c r="U8" t="s">
        <v>234</v>
      </c>
      <c r="V8" t="s">
        <v>235</v>
      </c>
      <c r="W8" t="s">
        <v>236</v>
      </c>
      <c r="X8" t="s">
        <v>237</v>
      </c>
      <c r="Y8" t="s">
        <v>238</v>
      </c>
      <c r="Z8" t="s">
        <v>239</v>
      </c>
      <c r="AA8" t="s">
        <v>240</v>
      </c>
      <c r="AB8" t="s">
        <v>74</v>
      </c>
      <c r="AC8" t="s">
        <v>241</v>
      </c>
      <c r="AD8" t="s">
        <v>242</v>
      </c>
      <c r="AE8" t="s">
        <v>74</v>
      </c>
      <c r="AF8" t="s">
        <v>74</v>
      </c>
      <c r="AG8">
        <v>16</v>
      </c>
      <c r="AH8">
        <v>41</v>
      </c>
      <c r="AI8">
        <v>47</v>
      </c>
      <c r="AJ8">
        <v>0</v>
      </c>
      <c r="AK8">
        <v>10</v>
      </c>
      <c r="AL8" t="s">
        <v>193</v>
      </c>
      <c r="AM8" t="s">
        <v>194</v>
      </c>
      <c r="AN8" t="s">
        <v>195</v>
      </c>
      <c r="AO8" t="s">
        <v>243</v>
      </c>
      <c r="AP8" t="s">
        <v>74</v>
      </c>
      <c r="AQ8" t="s">
        <v>74</v>
      </c>
      <c r="AR8" t="s">
        <v>244</v>
      </c>
      <c r="AS8" t="s">
        <v>245</v>
      </c>
      <c r="AT8" t="s">
        <v>246</v>
      </c>
      <c r="AU8">
        <v>2008</v>
      </c>
      <c r="AV8">
        <v>35</v>
      </c>
      <c r="AW8">
        <v>2</v>
      </c>
      <c r="AX8" t="s">
        <v>74</v>
      </c>
      <c r="AY8" t="s">
        <v>74</v>
      </c>
      <c r="AZ8" t="s">
        <v>74</v>
      </c>
      <c r="BA8" t="s">
        <v>74</v>
      </c>
      <c r="BB8" t="s">
        <v>74</v>
      </c>
      <c r="BC8" t="s">
        <v>74</v>
      </c>
      <c r="BD8" t="s">
        <v>247</v>
      </c>
      <c r="BE8" t="s">
        <v>248</v>
      </c>
      <c r="BF8" t="str">
        <f>HYPERLINK("http://dx.doi.org/10.1029/2007GL032170","http://dx.doi.org/10.1029/2007GL032170")</f>
        <v>http://dx.doi.org/10.1029/2007GL032170</v>
      </c>
      <c r="BG8" t="s">
        <v>74</v>
      </c>
      <c r="BH8" t="s">
        <v>74</v>
      </c>
      <c r="BI8">
        <v>4</v>
      </c>
      <c r="BJ8" t="s">
        <v>96</v>
      </c>
      <c r="BK8" t="s">
        <v>97</v>
      </c>
      <c r="BL8" t="s">
        <v>98</v>
      </c>
      <c r="BM8" t="s">
        <v>249</v>
      </c>
      <c r="BN8" t="s">
        <v>74</v>
      </c>
      <c r="BO8" t="s">
        <v>250</v>
      </c>
      <c r="BP8" t="s">
        <v>74</v>
      </c>
      <c r="BQ8" t="s">
        <v>74</v>
      </c>
      <c r="BR8" t="s">
        <v>100</v>
      </c>
      <c r="BS8" t="s">
        <v>251</v>
      </c>
      <c r="BT8" t="str">
        <f>HYPERLINK("https%3A%2F%2Fwww.webofscience.com%2Fwos%2Fwoscc%2Ffull-record%2FWOS:000252751800004","View Full Record in Web of Science")</f>
        <v>View Full Record in Web of Science</v>
      </c>
    </row>
    <row r="9" spans="1:72" x14ac:dyDescent="0.15">
      <c r="A9" t="s">
        <v>72</v>
      </c>
      <c r="B9" t="s">
        <v>252</v>
      </c>
      <c r="C9" t="s">
        <v>74</v>
      </c>
      <c r="D9" t="s">
        <v>74</v>
      </c>
      <c r="E9" t="s">
        <v>74</v>
      </c>
      <c r="F9" t="s">
        <v>253</v>
      </c>
      <c r="G9" t="s">
        <v>74</v>
      </c>
      <c r="H9" t="s">
        <v>74</v>
      </c>
      <c r="I9" t="s">
        <v>254</v>
      </c>
      <c r="J9" t="s">
        <v>255</v>
      </c>
      <c r="K9" t="s">
        <v>74</v>
      </c>
      <c r="L9" t="s">
        <v>74</v>
      </c>
      <c r="M9" t="s">
        <v>78</v>
      </c>
      <c r="N9" t="s">
        <v>79</v>
      </c>
      <c r="O9" t="s">
        <v>74</v>
      </c>
      <c r="P9" t="s">
        <v>74</v>
      </c>
      <c r="Q9" t="s">
        <v>74</v>
      </c>
      <c r="R9" t="s">
        <v>74</v>
      </c>
      <c r="S9" t="s">
        <v>74</v>
      </c>
      <c r="T9" t="s">
        <v>256</v>
      </c>
      <c r="U9" t="s">
        <v>257</v>
      </c>
      <c r="V9" t="s">
        <v>258</v>
      </c>
      <c r="W9" t="s">
        <v>259</v>
      </c>
      <c r="X9" t="s">
        <v>260</v>
      </c>
      <c r="Y9" t="s">
        <v>261</v>
      </c>
      <c r="Z9" t="s">
        <v>262</v>
      </c>
      <c r="AA9" t="s">
        <v>263</v>
      </c>
      <c r="AB9" t="s">
        <v>264</v>
      </c>
      <c r="AC9" t="s">
        <v>74</v>
      </c>
      <c r="AD9" t="s">
        <v>74</v>
      </c>
      <c r="AE9" t="s">
        <v>74</v>
      </c>
      <c r="AF9" t="s">
        <v>74</v>
      </c>
      <c r="AG9">
        <v>49</v>
      </c>
      <c r="AH9">
        <v>27</v>
      </c>
      <c r="AI9">
        <v>31</v>
      </c>
      <c r="AJ9">
        <v>1</v>
      </c>
      <c r="AK9">
        <v>17</v>
      </c>
      <c r="AL9" t="s">
        <v>265</v>
      </c>
      <c r="AM9" t="s">
        <v>266</v>
      </c>
      <c r="AN9" t="s">
        <v>267</v>
      </c>
      <c r="AO9" t="s">
        <v>268</v>
      </c>
      <c r="AP9" t="s">
        <v>269</v>
      </c>
      <c r="AQ9" t="s">
        <v>74</v>
      </c>
      <c r="AR9" t="s">
        <v>270</v>
      </c>
      <c r="AS9" t="s">
        <v>271</v>
      </c>
      <c r="AT9" t="s">
        <v>246</v>
      </c>
      <c r="AU9">
        <v>2008</v>
      </c>
      <c r="AV9">
        <v>389</v>
      </c>
      <c r="AW9" t="s">
        <v>272</v>
      </c>
      <c r="AX9" t="s">
        <v>74</v>
      </c>
      <c r="AY9" t="s">
        <v>74</v>
      </c>
      <c r="AZ9" t="s">
        <v>74</v>
      </c>
      <c r="BA9" t="s">
        <v>74</v>
      </c>
      <c r="BB9">
        <v>466</v>
      </c>
      <c r="BC9">
        <v>474</v>
      </c>
      <c r="BD9" t="s">
        <v>74</v>
      </c>
      <c r="BE9" t="s">
        <v>273</v>
      </c>
      <c r="BF9" t="str">
        <f>HYPERLINK("http://dx.doi.org/10.1016/j.scitotenv.2007.09.022","http://dx.doi.org/10.1016/j.scitotenv.2007.09.022")</f>
        <v>http://dx.doi.org/10.1016/j.scitotenv.2007.09.022</v>
      </c>
      <c r="BG9" t="s">
        <v>74</v>
      </c>
      <c r="BH9" t="s">
        <v>74</v>
      </c>
      <c r="BI9">
        <v>9</v>
      </c>
      <c r="BJ9" t="s">
        <v>274</v>
      </c>
      <c r="BK9" t="s">
        <v>97</v>
      </c>
      <c r="BL9" t="s">
        <v>275</v>
      </c>
      <c r="BM9" t="s">
        <v>276</v>
      </c>
      <c r="BN9">
        <v>17961635</v>
      </c>
      <c r="BO9" t="s">
        <v>128</v>
      </c>
      <c r="BP9" t="s">
        <v>74</v>
      </c>
      <c r="BQ9" t="s">
        <v>74</v>
      </c>
      <c r="BR9" t="s">
        <v>100</v>
      </c>
      <c r="BS9" t="s">
        <v>277</v>
      </c>
      <c r="BT9" t="str">
        <f>HYPERLINK("https%3A%2F%2Fwww.webofscience.com%2Fwos%2Fwoscc%2Ffull-record%2FWOS:000251826900026","View Full Record in Web of Science")</f>
        <v>View Full Record in Web of Science</v>
      </c>
    </row>
    <row r="10" spans="1:72" x14ac:dyDescent="0.15">
      <c r="A10" t="s">
        <v>72</v>
      </c>
      <c r="B10" t="s">
        <v>278</v>
      </c>
      <c r="C10" t="s">
        <v>74</v>
      </c>
      <c r="D10" t="s">
        <v>74</v>
      </c>
      <c r="E10" t="s">
        <v>74</v>
      </c>
      <c r="F10" t="s">
        <v>279</v>
      </c>
      <c r="G10" t="s">
        <v>74</v>
      </c>
      <c r="H10" t="s">
        <v>74</v>
      </c>
      <c r="I10" t="s">
        <v>280</v>
      </c>
      <c r="J10" t="s">
        <v>281</v>
      </c>
      <c r="K10" t="s">
        <v>74</v>
      </c>
      <c r="L10" t="s">
        <v>74</v>
      </c>
      <c r="M10" t="s">
        <v>78</v>
      </c>
      <c r="N10" t="s">
        <v>79</v>
      </c>
      <c r="O10" t="s">
        <v>74</v>
      </c>
      <c r="P10" t="s">
        <v>74</v>
      </c>
      <c r="Q10" t="s">
        <v>74</v>
      </c>
      <c r="R10" t="s">
        <v>74</v>
      </c>
      <c r="S10" t="s">
        <v>74</v>
      </c>
      <c r="T10" t="s">
        <v>282</v>
      </c>
      <c r="U10" t="s">
        <v>283</v>
      </c>
      <c r="V10" t="s">
        <v>284</v>
      </c>
      <c r="W10" t="s">
        <v>285</v>
      </c>
      <c r="X10" t="s">
        <v>286</v>
      </c>
      <c r="Y10" t="s">
        <v>287</v>
      </c>
      <c r="Z10" t="s">
        <v>288</v>
      </c>
      <c r="AA10" t="s">
        <v>289</v>
      </c>
      <c r="AB10" t="s">
        <v>290</v>
      </c>
      <c r="AC10" t="s">
        <v>74</v>
      </c>
      <c r="AD10" t="s">
        <v>74</v>
      </c>
      <c r="AE10" t="s">
        <v>74</v>
      </c>
      <c r="AF10" t="s">
        <v>74</v>
      </c>
      <c r="AG10">
        <v>49</v>
      </c>
      <c r="AH10">
        <v>16</v>
      </c>
      <c r="AI10">
        <v>23</v>
      </c>
      <c r="AJ10">
        <v>1</v>
      </c>
      <c r="AK10">
        <v>11</v>
      </c>
      <c r="AL10" t="s">
        <v>265</v>
      </c>
      <c r="AM10" t="s">
        <v>266</v>
      </c>
      <c r="AN10" t="s">
        <v>267</v>
      </c>
      <c r="AO10" t="s">
        <v>291</v>
      </c>
      <c r="AP10" t="s">
        <v>292</v>
      </c>
      <c r="AQ10" t="s">
        <v>74</v>
      </c>
      <c r="AR10" t="s">
        <v>293</v>
      </c>
      <c r="AS10" t="s">
        <v>294</v>
      </c>
      <c r="AT10" t="s">
        <v>295</v>
      </c>
      <c r="AU10">
        <v>2008</v>
      </c>
      <c r="AV10">
        <v>210</v>
      </c>
      <c r="AW10">
        <v>3</v>
      </c>
      <c r="AX10" t="s">
        <v>74</v>
      </c>
      <c r="AY10" t="s">
        <v>74</v>
      </c>
      <c r="AZ10" t="s">
        <v>74</v>
      </c>
      <c r="BA10" t="s">
        <v>74</v>
      </c>
      <c r="BB10">
        <v>231</v>
      </c>
      <c r="BC10">
        <v>241</v>
      </c>
      <c r="BD10" t="s">
        <v>74</v>
      </c>
      <c r="BE10" t="s">
        <v>296</v>
      </c>
      <c r="BF10" t="str">
        <f>HYPERLINK("http://dx.doi.org/10.1016/j.ecolmodel.2007.07.029","http://dx.doi.org/10.1016/j.ecolmodel.2007.07.029")</f>
        <v>http://dx.doi.org/10.1016/j.ecolmodel.2007.07.029</v>
      </c>
      <c r="BG10" t="s">
        <v>74</v>
      </c>
      <c r="BH10" t="s">
        <v>74</v>
      </c>
      <c r="BI10">
        <v>11</v>
      </c>
      <c r="BJ10" t="s">
        <v>297</v>
      </c>
      <c r="BK10" t="s">
        <v>97</v>
      </c>
      <c r="BL10" t="s">
        <v>275</v>
      </c>
      <c r="BM10" t="s">
        <v>298</v>
      </c>
      <c r="BN10" t="s">
        <v>74</v>
      </c>
      <c r="BO10" t="s">
        <v>74</v>
      </c>
      <c r="BP10" t="s">
        <v>74</v>
      </c>
      <c r="BQ10" t="s">
        <v>74</v>
      </c>
      <c r="BR10" t="s">
        <v>100</v>
      </c>
      <c r="BS10" t="s">
        <v>299</v>
      </c>
      <c r="BT10" t="str">
        <f>HYPERLINK("https%3A%2F%2Fwww.webofscience.com%2Fwos%2Fwoscc%2Ffull-record%2FWOS:000252654800002","View Full Record in Web of Science")</f>
        <v>View Full Record in Web of Science</v>
      </c>
    </row>
    <row r="11" spans="1:72" x14ac:dyDescent="0.15">
      <c r="A11" t="s">
        <v>72</v>
      </c>
      <c r="B11" t="s">
        <v>300</v>
      </c>
      <c r="C11" t="s">
        <v>74</v>
      </c>
      <c r="D11" t="s">
        <v>74</v>
      </c>
      <c r="E11" t="s">
        <v>74</v>
      </c>
      <c r="F11" t="s">
        <v>301</v>
      </c>
      <c r="G11" t="s">
        <v>74</v>
      </c>
      <c r="H11" t="s">
        <v>74</v>
      </c>
      <c r="I11" t="s">
        <v>302</v>
      </c>
      <c r="J11" t="s">
        <v>233</v>
      </c>
      <c r="K11" t="s">
        <v>74</v>
      </c>
      <c r="L11" t="s">
        <v>74</v>
      </c>
      <c r="M11" t="s">
        <v>78</v>
      </c>
      <c r="N11" t="s">
        <v>79</v>
      </c>
      <c r="O11" t="s">
        <v>74</v>
      </c>
      <c r="P11" t="s">
        <v>74</v>
      </c>
      <c r="Q11" t="s">
        <v>74</v>
      </c>
      <c r="R11" t="s">
        <v>74</v>
      </c>
      <c r="S11" t="s">
        <v>74</v>
      </c>
      <c r="T11" t="s">
        <v>74</v>
      </c>
      <c r="U11" t="s">
        <v>303</v>
      </c>
      <c r="V11" t="s">
        <v>304</v>
      </c>
      <c r="W11" t="s">
        <v>305</v>
      </c>
      <c r="X11" t="s">
        <v>306</v>
      </c>
      <c r="Y11" t="s">
        <v>307</v>
      </c>
      <c r="Z11" t="s">
        <v>308</v>
      </c>
      <c r="AA11" t="s">
        <v>74</v>
      </c>
      <c r="AB11" t="s">
        <v>309</v>
      </c>
      <c r="AC11" t="s">
        <v>74</v>
      </c>
      <c r="AD11" t="s">
        <v>74</v>
      </c>
      <c r="AE11" t="s">
        <v>74</v>
      </c>
      <c r="AF11" t="s">
        <v>74</v>
      </c>
      <c r="AG11">
        <v>31</v>
      </c>
      <c r="AH11">
        <v>138</v>
      </c>
      <c r="AI11">
        <v>148</v>
      </c>
      <c r="AJ11">
        <v>2</v>
      </c>
      <c r="AK11">
        <v>33</v>
      </c>
      <c r="AL11" t="s">
        <v>193</v>
      </c>
      <c r="AM11" t="s">
        <v>194</v>
      </c>
      <c r="AN11" t="s">
        <v>195</v>
      </c>
      <c r="AO11" t="s">
        <v>243</v>
      </c>
      <c r="AP11" t="s">
        <v>74</v>
      </c>
      <c r="AQ11" t="s">
        <v>74</v>
      </c>
      <c r="AR11" t="s">
        <v>244</v>
      </c>
      <c r="AS11" t="s">
        <v>245</v>
      </c>
      <c r="AT11" t="s">
        <v>295</v>
      </c>
      <c r="AU11">
        <v>2008</v>
      </c>
      <c r="AV11">
        <v>35</v>
      </c>
      <c r="AW11">
        <v>2</v>
      </c>
      <c r="AX11" t="s">
        <v>74</v>
      </c>
      <c r="AY11" t="s">
        <v>74</v>
      </c>
      <c r="AZ11" t="s">
        <v>74</v>
      </c>
      <c r="BA11" t="s">
        <v>74</v>
      </c>
      <c r="BB11" t="s">
        <v>74</v>
      </c>
      <c r="BC11" t="s">
        <v>74</v>
      </c>
      <c r="BD11" t="s">
        <v>310</v>
      </c>
      <c r="BE11" t="s">
        <v>311</v>
      </c>
      <c r="BF11" t="str">
        <f>HYPERLINK("http://dx.doi.org/10.1029/2007GL032096","http://dx.doi.org/10.1029/2007GL032096")</f>
        <v>http://dx.doi.org/10.1029/2007GL032096</v>
      </c>
      <c r="BG11" t="s">
        <v>74</v>
      </c>
      <c r="BH11" t="s">
        <v>74</v>
      </c>
      <c r="BI11">
        <v>5</v>
      </c>
      <c r="BJ11" t="s">
        <v>96</v>
      </c>
      <c r="BK11" t="s">
        <v>97</v>
      </c>
      <c r="BL11" t="s">
        <v>98</v>
      </c>
      <c r="BM11" t="s">
        <v>312</v>
      </c>
      <c r="BN11" t="s">
        <v>74</v>
      </c>
      <c r="BO11" t="s">
        <v>313</v>
      </c>
      <c r="BP11" t="s">
        <v>74</v>
      </c>
      <c r="BQ11" t="s">
        <v>74</v>
      </c>
      <c r="BR11" t="s">
        <v>100</v>
      </c>
      <c r="BS11" t="s">
        <v>314</v>
      </c>
      <c r="BT11" t="str">
        <f>HYPERLINK("https%3A%2F%2Fwww.webofscience.com%2Fwos%2Fwoscc%2Ffull-record%2FWOS:000252751700003","View Full Record in Web of Science")</f>
        <v>View Full Record in Web of Science</v>
      </c>
    </row>
    <row r="12" spans="1:72" x14ac:dyDescent="0.15">
      <c r="A12" t="s">
        <v>72</v>
      </c>
      <c r="B12" t="s">
        <v>315</v>
      </c>
      <c r="C12" t="s">
        <v>74</v>
      </c>
      <c r="D12" t="s">
        <v>74</v>
      </c>
      <c r="E12" t="s">
        <v>74</v>
      </c>
      <c r="F12" t="s">
        <v>316</v>
      </c>
      <c r="G12" t="s">
        <v>74</v>
      </c>
      <c r="H12" t="s">
        <v>74</v>
      </c>
      <c r="I12" t="s">
        <v>317</v>
      </c>
      <c r="J12" t="s">
        <v>233</v>
      </c>
      <c r="K12" t="s">
        <v>74</v>
      </c>
      <c r="L12" t="s">
        <v>74</v>
      </c>
      <c r="M12" t="s">
        <v>78</v>
      </c>
      <c r="N12" t="s">
        <v>79</v>
      </c>
      <c r="O12" t="s">
        <v>74</v>
      </c>
      <c r="P12" t="s">
        <v>74</v>
      </c>
      <c r="Q12" t="s">
        <v>74</v>
      </c>
      <c r="R12" t="s">
        <v>74</v>
      </c>
      <c r="S12" t="s">
        <v>74</v>
      </c>
      <c r="T12" t="s">
        <v>74</v>
      </c>
      <c r="U12" t="s">
        <v>318</v>
      </c>
      <c r="V12" t="s">
        <v>319</v>
      </c>
      <c r="W12" t="s">
        <v>320</v>
      </c>
      <c r="X12" t="s">
        <v>321</v>
      </c>
      <c r="Y12" t="s">
        <v>322</v>
      </c>
      <c r="Z12" t="s">
        <v>323</v>
      </c>
      <c r="AA12" t="s">
        <v>324</v>
      </c>
      <c r="AB12" t="s">
        <v>325</v>
      </c>
      <c r="AC12" t="s">
        <v>74</v>
      </c>
      <c r="AD12" t="s">
        <v>74</v>
      </c>
      <c r="AE12" t="s">
        <v>74</v>
      </c>
      <c r="AF12" t="s">
        <v>74</v>
      </c>
      <c r="AG12">
        <v>25</v>
      </c>
      <c r="AH12">
        <v>35</v>
      </c>
      <c r="AI12">
        <v>35</v>
      </c>
      <c r="AJ12">
        <v>0</v>
      </c>
      <c r="AK12">
        <v>18</v>
      </c>
      <c r="AL12" t="s">
        <v>193</v>
      </c>
      <c r="AM12" t="s">
        <v>194</v>
      </c>
      <c r="AN12" t="s">
        <v>195</v>
      </c>
      <c r="AO12" t="s">
        <v>243</v>
      </c>
      <c r="AP12" t="s">
        <v>326</v>
      </c>
      <c r="AQ12" t="s">
        <v>74</v>
      </c>
      <c r="AR12" t="s">
        <v>244</v>
      </c>
      <c r="AS12" t="s">
        <v>245</v>
      </c>
      <c r="AT12" t="s">
        <v>295</v>
      </c>
      <c r="AU12">
        <v>2008</v>
      </c>
      <c r="AV12">
        <v>35</v>
      </c>
      <c r="AW12">
        <v>2</v>
      </c>
      <c r="AX12" t="s">
        <v>74</v>
      </c>
      <c r="AY12" t="s">
        <v>74</v>
      </c>
      <c r="AZ12" t="s">
        <v>74</v>
      </c>
      <c r="BA12" t="s">
        <v>74</v>
      </c>
      <c r="BB12" t="s">
        <v>74</v>
      </c>
      <c r="BC12" t="s">
        <v>74</v>
      </c>
      <c r="BD12" t="s">
        <v>327</v>
      </c>
      <c r="BE12" t="s">
        <v>328</v>
      </c>
      <c r="BF12" t="str">
        <f>HYPERLINK("http://dx.doi.org/10.1029/2007GL032605","http://dx.doi.org/10.1029/2007GL032605")</f>
        <v>http://dx.doi.org/10.1029/2007GL032605</v>
      </c>
      <c r="BG12" t="s">
        <v>74</v>
      </c>
      <c r="BH12" t="s">
        <v>74</v>
      </c>
      <c r="BI12">
        <v>6</v>
      </c>
      <c r="BJ12" t="s">
        <v>96</v>
      </c>
      <c r="BK12" t="s">
        <v>97</v>
      </c>
      <c r="BL12" t="s">
        <v>98</v>
      </c>
      <c r="BM12" t="s">
        <v>312</v>
      </c>
      <c r="BN12" t="s">
        <v>74</v>
      </c>
      <c r="BO12" t="s">
        <v>179</v>
      </c>
      <c r="BP12" t="s">
        <v>74</v>
      </c>
      <c r="BQ12" t="s">
        <v>74</v>
      </c>
      <c r="BR12" t="s">
        <v>100</v>
      </c>
      <c r="BS12" t="s">
        <v>329</v>
      </c>
      <c r="BT12" t="str">
        <f>HYPERLINK("https%3A%2F%2Fwww.webofscience.com%2Fwos%2Fwoscc%2Ffull-record%2FWOS:000252751700008","View Full Record in Web of Science")</f>
        <v>View Full Record in Web of Science</v>
      </c>
    </row>
    <row r="13" spans="1:72" x14ac:dyDescent="0.15">
      <c r="A13" t="s">
        <v>72</v>
      </c>
      <c r="B13" t="s">
        <v>330</v>
      </c>
      <c r="C13" t="s">
        <v>74</v>
      </c>
      <c r="D13" t="s">
        <v>74</v>
      </c>
      <c r="E13" t="s">
        <v>74</v>
      </c>
      <c r="F13" t="s">
        <v>331</v>
      </c>
      <c r="G13" t="s">
        <v>74</v>
      </c>
      <c r="H13" t="s">
        <v>74</v>
      </c>
      <c r="I13" t="s">
        <v>332</v>
      </c>
      <c r="J13" t="s">
        <v>333</v>
      </c>
      <c r="K13" t="s">
        <v>74</v>
      </c>
      <c r="L13" t="s">
        <v>74</v>
      </c>
      <c r="M13" t="s">
        <v>78</v>
      </c>
      <c r="N13" t="s">
        <v>79</v>
      </c>
      <c r="O13" t="s">
        <v>74</v>
      </c>
      <c r="P13" t="s">
        <v>74</v>
      </c>
      <c r="Q13" t="s">
        <v>74</v>
      </c>
      <c r="R13" t="s">
        <v>74</v>
      </c>
      <c r="S13" t="s">
        <v>74</v>
      </c>
      <c r="T13" t="s">
        <v>74</v>
      </c>
      <c r="U13" t="s">
        <v>334</v>
      </c>
      <c r="V13" t="s">
        <v>335</v>
      </c>
      <c r="W13" t="s">
        <v>336</v>
      </c>
      <c r="X13" t="s">
        <v>337</v>
      </c>
      <c r="Y13" t="s">
        <v>338</v>
      </c>
      <c r="Z13" t="s">
        <v>339</v>
      </c>
      <c r="AA13" t="s">
        <v>340</v>
      </c>
      <c r="AB13" t="s">
        <v>341</v>
      </c>
      <c r="AC13" t="s">
        <v>342</v>
      </c>
      <c r="AD13" t="s">
        <v>343</v>
      </c>
      <c r="AE13" t="s">
        <v>74</v>
      </c>
      <c r="AF13" t="s">
        <v>74</v>
      </c>
      <c r="AG13">
        <v>68</v>
      </c>
      <c r="AH13">
        <v>89</v>
      </c>
      <c r="AI13">
        <v>95</v>
      </c>
      <c r="AJ13">
        <v>0</v>
      </c>
      <c r="AK13">
        <v>3</v>
      </c>
      <c r="AL13" t="s">
        <v>193</v>
      </c>
      <c r="AM13" t="s">
        <v>194</v>
      </c>
      <c r="AN13" t="s">
        <v>195</v>
      </c>
      <c r="AO13" t="s">
        <v>344</v>
      </c>
      <c r="AP13" t="s">
        <v>345</v>
      </c>
      <c r="AQ13" t="s">
        <v>74</v>
      </c>
      <c r="AR13" t="s">
        <v>346</v>
      </c>
      <c r="AS13" t="s">
        <v>347</v>
      </c>
      <c r="AT13" t="s">
        <v>295</v>
      </c>
      <c r="AU13">
        <v>2008</v>
      </c>
      <c r="AV13">
        <v>113</v>
      </c>
      <c r="AW13" t="s">
        <v>348</v>
      </c>
      <c r="AX13" t="s">
        <v>74</v>
      </c>
      <c r="AY13" t="s">
        <v>74</v>
      </c>
      <c r="AZ13" t="s">
        <v>74</v>
      </c>
      <c r="BA13" t="s">
        <v>74</v>
      </c>
      <c r="BB13" t="s">
        <v>74</v>
      </c>
      <c r="BC13" t="s">
        <v>74</v>
      </c>
      <c r="BD13" t="s">
        <v>349</v>
      </c>
      <c r="BE13" t="s">
        <v>350</v>
      </c>
      <c r="BF13" t="str">
        <f>HYPERLINK("http://dx.doi.org/10.1029/2007JA012362","http://dx.doi.org/10.1029/2007JA012362")</f>
        <v>http://dx.doi.org/10.1029/2007JA012362</v>
      </c>
      <c r="BG13" t="s">
        <v>74</v>
      </c>
      <c r="BH13" t="s">
        <v>74</v>
      </c>
      <c r="BI13">
        <v>22</v>
      </c>
      <c r="BJ13" t="s">
        <v>351</v>
      </c>
      <c r="BK13" t="s">
        <v>97</v>
      </c>
      <c r="BL13" t="s">
        <v>351</v>
      </c>
      <c r="BM13" t="s">
        <v>352</v>
      </c>
      <c r="BN13" t="s">
        <v>74</v>
      </c>
      <c r="BO13" t="s">
        <v>179</v>
      </c>
      <c r="BP13" t="s">
        <v>74</v>
      </c>
      <c r="BQ13" t="s">
        <v>74</v>
      </c>
      <c r="BR13" t="s">
        <v>100</v>
      </c>
      <c r="BS13" t="s">
        <v>353</v>
      </c>
      <c r="BT13" t="str">
        <f>HYPERLINK("https%3A%2F%2Fwww.webofscience.com%2Fwos%2Fwoscc%2Ffull-record%2FWOS:000252754600002","View Full Record in Web of Science")</f>
        <v>View Full Record in Web of Science</v>
      </c>
    </row>
    <row r="14" spans="1:72" x14ac:dyDescent="0.15">
      <c r="A14" t="s">
        <v>72</v>
      </c>
      <c r="B14" t="s">
        <v>354</v>
      </c>
      <c r="C14" t="s">
        <v>74</v>
      </c>
      <c r="D14" t="s">
        <v>74</v>
      </c>
      <c r="E14" t="s">
        <v>74</v>
      </c>
      <c r="F14" t="s">
        <v>355</v>
      </c>
      <c r="G14" t="s">
        <v>74</v>
      </c>
      <c r="H14" t="s">
        <v>74</v>
      </c>
      <c r="I14" t="s">
        <v>356</v>
      </c>
      <c r="J14" t="s">
        <v>233</v>
      </c>
      <c r="K14" t="s">
        <v>74</v>
      </c>
      <c r="L14" t="s">
        <v>74</v>
      </c>
      <c r="M14" t="s">
        <v>78</v>
      </c>
      <c r="N14" t="s">
        <v>79</v>
      </c>
      <c r="O14" t="s">
        <v>74</v>
      </c>
      <c r="P14" t="s">
        <v>74</v>
      </c>
      <c r="Q14" t="s">
        <v>74</v>
      </c>
      <c r="R14" t="s">
        <v>74</v>
      </c>
      <c r="S14" t="s">
        <v>74</v>
      </c>
      <c r="T14" t="s">
        <v>74</v>
      </c>
      <c r="U14" t="s">
        <v>357</v>
      </c>
      <c r="V14" t="s">
        <v>358</v>
      </c>
      <c r="W14" t="s">
        <v>359</v>
      </c>
      <c r="X14" t="s">
        <v>360</v>
      </c>
      <c r="Y14" t="s">
        <v>361</v>
      </c>
      <c r="Z14" t="s">
        <v>362</v>
      </c>
      <c r="AA14" t="s">
        <v>363</v>
      </c>
      <c r="AB14" t="s">
        <v>74</v>
      </c>
      <c r="AC14" t="s">
        <v>74</v>
      </c>
      <c r="AD14" t="s">
        <v>74</v>
      </c>
      <c r="AE14" t="s">
        <v>74</v>
      </c>
      <c r="AF14" t="s">
        <v>74</v>
      </c>
      <c r="AG14">
        <v>22</v>
      </c>
      <c r="AH14">
        <v>15</v>
      </c>
      <c r="AI14">
        <v>16</v>
      </c>
      <c r="AJ14">
        <v>0</v>
      </c>
      <c r="AK14">
        <v>2</v>
      </c>
      <c r="AL14" t="s">
        <v>193</v>
      </c>
      <c r="AM14" t="s">
        <v>194</v>
      </c>
      <c r="AN14" t="s">
        <v>195</v>
      </c>
      <c r="AO14" t="s">
        <v>243</v>
      </c>
      <c r="AP14" t="s">
        <v>74</v>
      </c>
      <c r="AQ14" t="s">
        <v>74</v>
      </c>
      <c r="AR14" t="s">
        <v>244</v>
      </c>
      <c r="AS14" t="s">
        <v>245</v>
      </c>
      <c r="AT14" t="s">
        <v>364</v>
      </c>
      <c r="AU14">
        <v>2008</v>
      </c>
      <c r="AV14">
        <v>35</v>
      </c>
      <c r="AW14">
        <v>2</v>
      </c>
      <c r="AX14" t="s">
        <v>74</v>
      </c>
      <c r="AY14" t="s">
        <v>74</v>
      </c>
      <c r="AZ14" t="s">
        <v>74</v>
      </c>
      <c r="BA14" t="s">
        <v>74</v>
      </c>
      <c r="BB14" t="s">
        <v>74</v>
      </c>
      <c r="BC14" t="s">
        <v>74</v>
      </c>
      <c r="BD14" t="s">
        <v>365</v>
      </c>
      <c r="BE14" t="s">
        <v>366</v>
      </c>
      <c r="BF14" t="str">
        <f>HYPERLINK("http://dx.doi.org/10.1029/2007GL032125","http://dx.doi.org/10.1029/2007GL032125")</f>
        <v>http://dx.doi.org/10.1029/2007GL032125</v>
      </c>
      <c r="BG14" t="s">
        <v>74</v>
      </c>
      <c r="BH14" t="s">
        <v>74</v>
      </c>
      <c r="BI14">
        <v>5</v>
      </c>
      <c r="BJ14" t="s">
        <v>96</v>
      </c>
      <c r="BK14" t="s">
        <v>97</v>
      </c>
      <c r="BL14" t="s">
        <v>98</v>
      </c>
      <c r="BM14" t="s">
        <v>367</v>
      </c>
      <c r="BN14" t="s">
        <v>74</v>
      </c>
      <c r="BO14" t="s">
        <v>179</v>
      </c>
      <c r="BP14" t="s">
        <v>74</v>
      </c>
      <c r="BQ14" t="s">
        <v>74</v>
      </c>
      <c r="BR14" t="s">
        <v>100</v>
      </c>
      <c r="BS14" t="s">
        <v>368</v>
      </c>
      <c r="BT14" t="str">
        <f>HYPERLINK("https%3A%2F%2Fwww.webofscience.com%2Fwos%2Fwoscc%2Ffull-record%2FWOS:000252751600003","View Full Record in Web of Science")</f>
        <v>View Full Record in Web of Science</v>
      </c>
    </row>
    <row r="15" spans="1:72" x14ac:dyDescent="0.15">
      <c r="A15" t="s">
        <v>72</v>
      </c>
      <c r="B15" t="s">
        <v>369</v>
      </c>
      <c r="C15" t="s">
        <v>74</v>
      </c>
      <c r="D15" t="s">
        <v>74</v>
      </c>
      <c r="E15" t="s">
        <v>74</v>
      </c>
      <c r="F15" t="s">
        <v>370</v>
      </c>
      <c r="G15" t="s">
        <v>74</v>
      </c>
      <c r="H15" t="s">
        <v>74</v>
      </c>
      <c r="I15" t="s">
        <v>371</v>
      </c>
      <c r="J15" t="s">
        <v>233</v>
      </c>
      <c r="K15" t="s">
        <v>74</v>
      </c>
      <c r="L15" t="s">
        <v>74</v>
      </c>
      <c r="M15" t="s">
        <v>78</v>
      </c>
      <c r="N15" t="s">
        <v>79</v>
      </c>
      <c r="O15" t="s">
        <v>74</v>
      </c>
      <c r="P15" t="s">
        <v>74</v>
      </c>
      <c r="Q15" t="s">
        <v>74</v>
      </c>
      <c r="R15" t="s">
        <v>74</v>
      </c>
      <c r="S15" t="s">
        <v>74</v>
      </c>
      <c r="T15" t="s">
        <v>74</v>
      </c>
      <c r="U15" t="s">
        <v>372</v>
      </c>
      <c r="V15" t="s">
        <v>373</v>
      </c>
      <c r="W15" t="s">
        <v>374</v>
      </c>
      <c r="X15" t="s">
        <v>375</v>
      </c>
      <c r="Y15" t="s">
        <v>376</v>
      </c>
      <c r="Z15" t="s">
        <v>377</v>
      </c>
      <c r="AA15" t="s">
        <v>378</v>
      </c>
      <c r="AB15" t="s">
        <v>379</v>
      </c>
      <c r="AC15" t="s">
        <v>74</v>
      </c>
      <c r="AD15" t="s">
        <v>74</v>
      </c>
      <c r="AE15" t="s">
        <v>74</v>
      </c>
      <c r="AF15" t="s">
        <v>74</v>
      </c>
      <c r="AG15">
        <v>19</v>
      </c>
      <c r="AH15">
        <v>17</v>
      </c>
      <c r="AI15">
        <v>17</v>
      </c>
      <c r="AJ15">
        <v>0</v>
      </c>
      <c r="AK15">
        <v>11</v>
      </c>
      <c r="AL15" t="s">
        <v>193</v>
      </c>
      <c r="AM15" t="s">
        <v>194</v>
      </c>
      <c r="AN15" t="s">
        <v>195</v>
      </c>
      <c r="AO15" t="s">
        <v>243</v>
      </c>
      <c r="AP15" t="s">
        <v>74</v>
      </c>
      <c r="AQ15" t="s">
        <v>74</v>
      </c>
      <c r="AR15" t="s">
        <v>244</v>
      </c>
      <c r="AS15" t="s">
        <v>245</v>
      </c>
      <c r="AT15" t="s">
        <v>364</v>
      </c>
      <c r="AU15">
        <v>2008</v>
      </c>
      <c r="AV15">
        <v>35</v>
      </c>
      <c r="AW15">
        <v>2</v>
      </c>
      <c r="AX15" t="s">
        <v>74</v>
      </c>
      <c r="AY15" t="s">
        <v>74</v>
      </c>
      <c r="AZ15" t="s">
        <v>74</v>
      </c>
      <c r="BA15" t="s">
        <v>74</v>
      </c>
      <c r="BB15" t="s">
        <v>74</v>
      </c>
      <c r="BC15" t="s">
        <v>74</v>
      </c>
      <c r="BD15" t="s">
        <v>380</v>
      </c>
      <c r="BE15" t="s">
        <v>381</v>
      </c>
      <c r="BF15" t="str">
        <f>HYPERLINK("http://dx.doi.org/10.1029/2007GL031685","http://dx.doi.org/10.1029/2007GL031685")</f>
        <v>http://dx.doi.org/10.1029/2007GL031685</v>
      </c>
      <c r="BG15" t="s">
        <v>74</v>
      </c>
      <c r="BH15" t="s">
        <v>74</v>
      </c>
      <c r="BI15">
        <v>5</v>
      </c>
      <c r="BJ15" t="s">
        <v>96</v>
      </c>
      <c r="BK15" t="s">
        <v>97</v>
      </c>
      <c r="BL15" t="s">
        <v>98</v>
      </c>
      <c r="BM15" t="s">
        <v>367</v>
      </c>
      <c r="BN15" t="s">
        <v>74</v>
      </c>
      <c r="BO15" t="s">
        <v>179</v>
      </c>
      <c r="BP15" t="s">
        <v>74</v>
      </c>
      <c r="BQ15" t="s">
        <v>74</v>
      </c>
      <c r="BR15" t="s">
        <v>100</v>
      </c>
      <c r="BS15" t="s">
        <v>382</v>
      </c>
      <c r="BT15" t="str">
        <f>HYPERLINK("https%3A%2F%2Fwww.webofscience.com%2Fwos%2Fwoscc%2Ffull-record%2FWOS:000252751600002","View Full Record in Web of Science")</f>
        <v>View Full Record in Web of Science</v>
      </c>
    </row>
    <row r="16" spans="1:72" x14ac:dyDescent="0.15">
      <c r="A16" t="s">
        <v>72</v>
      </c>
      <c r="B16" t="s">
        <v>383</v>
      </c>
      <c r="C16" t="s">
        <v>74</v>
      </c>
      <c r="D16" t="s">
        <v>74</v>
      </c>
      <c r="E16" t="s">
        <v>74</v>
      </c>
      <c r="F16" t="s">
        <v>384</v>
      </c>
      <c r="G16" t="s">
        <v>74</v>
      </c>
      <c r="H16" t="s">
        <v>74</v>
      </c>
      <c r="I16" t="s">
        <v>385</v>
      </c>
      <c r="J16" t="s">
        <v>333</v>
      </c>
      <c r="K16" t="s">
        <v>74</v>
      </c>
      <c r="L16" t="s">
        <v>74</v>
      </c>
      <c r="M16" t="s">
        <v>78</v>
      </c>
      <c r="N16" t="s">
        <v>79</v>
      </c>
      <c r="O16" t="s">
        <v>74</v>
      </c>
      <c r="P16" t="s">
        <v>74</v>
      </c>
      <c r="Q16" t="s">
        <v>74</v>
      </c>
      <c r="R16" t="s">
        <v>74</v>
      </c>
      <c r="S16" t="s">
        <v>74</v>
      </c>
      <c r="T16" t="s">
        <v>74</v>
      </c>
      <c r="U16" t="s">
        <v>386</v>
      </c>
      <c r="V16" t="s">
        <v>387</v>
      </c>
      <c r="W16" t="s">
        <v>388</v>
      </c>
      <c r="X16" t="s">
        <v>389</v>
      </c>
      <c r="Y16" t="s">
        <v>390</v>
      </c>
      <c r="Z16" t="s">
        <v>391</v>
      </c>
      <c r="AA16" t="s">
        <v>392</v>
      </c>
      <c r="AB16" t="s">
        <v>393</v>
      </c>
      <c r="AC16" t="s">
        <v>394</v>
      </c>
      <c r="AD16" t="s">
        <v>242</v>
      </c>
      <c r="AE16" t="s">
        <v>74</v>
      </c>
      <c r="AF16" t="s">
        <v>74</v>
      </c>
      <c r="AG16">
        <v>70</v>
      </c>
      <c r="AH16">
        <v>131</v>
      </c>
      <c r="AI16">
        <v>135</v>
      </c>
      <c r="AJ16">
        <v>1</v>
      </c>
      <c r="AK16">
        <v>14</v>
      </c>
      <c r="AL16" t="s">
        <v>193</v>
      </c>
      <c r="AM16" t="s">
        <v>194</v>
      </c>
      <c r="AN16" t="s">
        <v>195</v>
      </c>
      <c r="AO16" t="s">
        <v>344</v>
      </c>
      <c r="AP16" t="s">
        <v>345</v>
      </c>
      <c r="AQ16" t="s">
        <v>74</v>
      </c>
      <c r="AR16" t="s">
        <v>346</v>
      </c>
      <c r="AS16" t="s">
        <v>347</v>
      </c>
      <c r="AT16" t="s">
        <v>364</v>
      </c>
      <c r="AU16">
        <v>2008</v>
      </c>
      <c r="AV16">
        <v>113</v>
      </c>
      <c r="AW16" t="s">
        <v>395</v>
      </c>
      <c r="AX16" t="s">
        <v>74</v>
      </c>
      <c r="AY16" t="s">
        <v>74</v>
      </c>
      <c r="AZ16" t="s">
        <v>74</v>
      </c>
      <c r="BA16" t="s">
        <v>74</v>
      </c>
      <c r="BB16" t="s">
        <v>74</v>
      </c>
      <c r="BC16" t="s">
        <v>74</v>
      </c>
      <c r="BD16" t="s">
        <v>396</v>
      </c>
      <c r="BE16" t="s">
        <v>397</v>
      </c>
      <c r="BF16" t="str">
        <f>HYPERLINK("http://dx.doi.org/10.1029/2007JA012558","http://dx.doi.org/10.1029/2007JA012558")</f>
        <v>http://dx.doi.org/10.1029/2007JA012558</v>
      </c>
      <c r="BG16" t="s">
        <v>74</v>
      </c>
      <c r="BH16" t="s">
        <v>74</v>
      </c>
      <c r="BI16">
        <v>12</v>
      </c>
      <c r="BJ16" t="s">
        <v>351</v>
      </c>
      <c r="BK16" t="s">
        <v>97</v>
      </c>
      <c r="BL16" t="s">
        <v>351</v>
      </c>
      <c r="BM16" t="s">
        <v>398</v>
      </c>
      <c r="BN16" t="s">
        <v>74</v>
      </c>
      <c r="BO16" t="s">
        <v>179</v>
      </c>
      <c r="BP16" t="s">
        <v>74</v>
      </c>
      <c r="BQ16" t="s">
        <v>74</v>
      </c>
      <c r="BR16" t="s">
        <v>100</v>
      </c>
      <c r="BS16" t="s">
        <v>399</v>
      </c>
      <c r="BT16" t="str">
        <f>HYPERLINK("https%3A%2F%2Fwww.webofscience.com%2Fwos%2Fwoscc%2Ffull-record%2FWOS:000252755200001","View Full Record in Web of Science")</f>
        <v>View Full Record in Web of Science</v>
      </c>
    </row>
    <row r="17" spans="1:72" x14ac:dyDescent="0.15">
      <c r="A17" t="s">
        <v>72</v>
      </c>
      <c r="B17" t="s">
        <v>400</v>
      </c>
      <c r="C17" t="s">
        <v>74</v>
      </c>
      <c r="D17" t="s">
        <v>74</v>
      </c>
      <c r="E17" t="s">
        <v>74</v>
      </c>
      <c r="F17" t="s">
        <v>401</v>
      </c>
      <c r="G17" t="s">
        <v>74</v>
      </c>
      <c r="H17" t="s">
        <v>74</v>
      </c>
      <c r="I17" t="s">
        <v>402</v>
      </c>
      <c r="J17" t="s">
        <v>184</v>
      </c>
      <c r="K17" t="s">
        <v>74</v>
      </c>
      <c r="L17" t="s">
        <v>74</v>
      </c>
      <c r="M17" t="s">
        <v>78</v>
      </c>
      <c r="N17" t="s">
        <v>79</v>
      </c>
      <c r="O17" t="s">
        <v>74</v>
      </c>
      <c r="P17" t="s">
        <v>74</v>
      </c>
      <c r="Q17" t="s">
        <v>74</v>
      </c>
      <c r="R17" t="s">
        <v>74</v>
      </c>
      <c r="S17" t="s">
        <v>74</v>
      </c>
      <c r="T17" t="s">
        <v>74</v>
      </c>
      <c r="U17" t="s">
        <v>403</v>
      </c>
      <c r="V17" t="s">
        <v>404</v>
      </c>
      <c r="W17" t="s">
        <v>405</v>
      </c>
      <c r="X17" t="s">
        <v>406</v>
      </c>
      <c r="Y17" t="s">
        <v>407</v>
      </c>
      <c r="Z17" t="s">
        <v>74</v>
      </c>
      <c r="AA17" t="s">
        <v>408</v>
      </c>
      <c r="AB17" t="s">
        <v>409</v>
      </c>
      <c r="AC17" t="s">
        <v>74</v>
      </c>
      <c r="AD17" t="s">
        <v>74</v>
      </c>
      <c r="AE17" t="s">
        <v>74</v>
      </c>
      <c r="AF17" t="s">
        <v>74</v>
      </c>
      <c r="AG17">
        <v>37</v>
      </c>
      <c r="AH17">
        <v>83</v>
      </c>
      <c r="AI17">
        <v>85</v>
      </c>
      <c r="AJ17">
        <v>0</v>
      </c>
      <c r="AK17">
        <v>14</v>
      </c>
      <c r="AL17" t="s">
        <v>193</v>
      </c>
      <c r="AM17" t="s">
        <v>194</v>
      </c>
      <c r="AN17" t="s">
        <v>195</v>
      </c>
      <c r="AO17" t="s">
        <v>196</v>
      </c>
      <c r="AP17" t="s">
        <v>197</v>
      </c>
      <c r="AQ17" t="s">
        <v>74</v>
      </c>
      <c r="AR17" t="s">
        <v>198</v>
      </c>
      <c r="AS17" t="s">
        <v>199</v>
      </c>
      <c r="AT17" t="s">
        <v>410</v>
      </c>
      <c r="AU17">
        <v>2008</v>
      </c>
      <c r="AV17">
        <v>113</v>
      </c>
      <c r="AW17" t="s">
        <v>201</v>
      </c>
      <c r="AX17" t="s">
        <v>74</v>
      </c>
      <c r="AY17" t="s">
        <v>74</v>
      </c>
      <c r="AZ17" t="s">
        <v>74</v>
      </c>
      <c r="BA17" t="s">
        <v>74</v>
      </c>
      <c r="BB17" t="s">
        <v>74</v>
      </c>
      <c r="BC17" t="s">
        <v>74</v>
      </c>
      <c r="BD17" t="s">
        <v>411</v>
      </c>
      <c r="BE17" t="s">
        <v>412</v>
      </c>
      <c r="BF17" t="str">
        <f>HYPERLINK("http://dx.doi.org/10.1029/2007JD008568","http://dx.doi.org/10.1029/2007JD008568")</f>
        <v>http://dx.doi.org/10.1029/2007JD008568</v>
      </c>
      <c r="BG17" t="s">
        <v>74</v>
      </c>
      <c r="BH17" t="s">
        <v>74</v>
      </c>
      <c r="BI17">
        <v>9</v>
      </c>
      <c r="BJ17" t="s">
        <v>204</v>
      </c>
      <c r="BK17" t="s">
        <v>97</v>
      </c>
      <c r="BL17" t="s">
        <v>204</v>
      </c>
      <c r="BM17" t="s">
        <v>413</v>
      </c>
      <c r="BN17" t="s">
        <v>74</v>
      </c>
      <c r="BO17" t="s">
        <v>414</v>
      </c>
      <c r="BP17" t="s">
        <v>74</v>
      </c>
      <c r="BQ17" t="s">
        <v>74</v>
      </c>
      <c r="BR17" t="s">
        <v>100</v>
      </c>
      <c r="BS17" t="s">
        <v>415</v>
      </c>
      <c r="BT17" t="str">
        <f>HYPERLINK("https%3A%2F%2Fwww.webofscience.com%2Fwos%2Fwoscc%2Ffull-record%2FWOS:000252568700002","View Full Record in Web of Science")</f>
        <v>View Full Record in Web of Science</v>
      </c>
    </row>
    <row r="18" spans="1:72" x14ac:dyDescent="0.15">
      <c r="A18" t="s">
        <v>72</v>
      </c>
      <c r="B18" t="s">
        <v>416</v>
      </c>
      <c r="C18" t="s">
        <v>74</v>
      </c>
      <c r="D18" t="s">
        <v>74</v>
      </c>
      <c r="E18" t="s">
        <v>74</v>
      </c>
      <c r="F18" t="s">
        <v>417</v>
      </c>
      <c r="G18" t="s">
        <v>74</v>
      </c>
      <c r="H18" t="s">
        <v>74</v>
      </c>
      <c r="I18" t="s">
        <v>418</v>
      </c>
      <c r="J18" t="s">
        <v>419</v>
      </c>
      <c r="K18" t="s">
        <v>74</v>
      </c>
      <c r="L18" t="s">
        <v>74</v>
      </c>
      <c r="M18" t="s">
        <v>78</v>
      </c>
      <c r="N18" t="s">
        <v>79</v>
      </c>
      <c r="O18" t="s">
        <v>74</v>
      </c>
      <c r="P18" t="s">
        <v>74</v>
      </c>
      <c r="Q18" t="s">
        <v>74</v>
      </c>
      <c r="R18" t="s">
        <v>74</v>
      </c>
      <c r="S18" t="s">
        <v>74</v>
      </c>
      <c r="T18" t="s">
        <v>74</v>
      </c>
      <c r="U18" t="s">
        <v>420</v>
      </c>
      <c r="V18" t="s">
        <v>421</v>
      </c>
      <c r="W18" t="s">
        <v>422</v>
      </c>
      <c r="X18" t="s">
        <v>423</v>
      </c>
      <c r="Y18" t="s">
        <v>424</v>
      </c>
      <c r="Z18" t="s">
        <v>74</v>
      </c>
      <c r="AA18" t="s">
        <v>425</v>
      </c>
      <c r="AB18" t="s">
        <v>74</v>
      </c>
      <c r="AC18" t="s">
        <v>74</v>
      </c>
      <c r="AD18" t="s">
        <v>74</v>
      </c>
      <c r="AE18" t="s">
        <v>74</v>
      </c>
      <c r="AF18" t="s">
        <v>74</v>
      </c>
      <c r="AG18">
        <v>60</v>
      </c>
      <c r="AH18">
        <v>59</v>
      </c>
      <c r="AI18">
        <v>67</v>
      </c>
      <c r="AJ18">
        <v>1</v>
      </c>
      <c r="AK18">
        <v>23</v>
      </c>
      <c r="AL18" t="s">
        <v>193</v>
      </c>
      <c r="AM18" t="s">
        <v>194</v>
      </c>
      <c r="AN18" t="s">
        <v>195</v>
      </c>
      <c r="AO18" t="s">
        <v>426</v>
      </c>
      <c r="AP18" t="s">
        <v>427</v>
      </c>
      <c r="AQ18" t="s">
        <v>74</v>
      </c>
      <c r="AR18" t="s">
        <v>419</v>
      </c>
      <c r="AS18" t="s">
        <v>428</v>
      </c>
      <c r="AT18" t="s">
        <v>410</v>
      </c>
      <c r="AU18">
        <v>2008</v>
      </c>
      <c r="AV18">
        <v>23</v>
      </c>
      <c r="AW18">
        <v>1</v>
      </c>
      <c r="AX18" t="s">
        <v>74</v>
      </c>
      <c r="AY18" t="s">
        <v>74</v>
      </c>
      <c r="AZ18" t="s">
        <v>74</v>
      </c>
      <c r="BA18" t="s">
        <v>74</v>
      </c>
      <c r="BB18" t="s">
        <v>74</v>
      </c>
      <c r="BC18" t="s">
        <v>74</v>
      </c>
      <c r="BD18" t="s">
        <v>429</v>
      </c>
      <c r="BE18" t="s">
        <v>430</v>
      </c>
      <c r="BF18" t="str">
        <f>HYPERLINK("http://dx.doi.org/10.1029/2006PA001400","http://dx.doi.org/10.1029/2006PA001400")</f>
        <v>http://dx.doi.org/10.1029/2006PA001400</v>
      </c>
      <c r="BG18" t="s">
        <v>74</v>
      </c>
      <c r="BH18" t="s">
        <v>74</v>
      </c>
      <c r="BI18">
        <v>12</v>
      </c>
      <c r="BJ18" t="s">
        <v>431</v>
      </c>
      <c r="BK18" t="s">
        <v>97</v>
      </c>
      <c r="BL18" t="s">
        <v>432</v>
      </c>
      <c r="BM18" t="s">
        <v>433</v>
      </c>
      <c r="BN18" t="s">
        <v>74</v>
      </c>
      <c r="BO18" t="s">
        <v>313</v>
      </c>
      <c r="BP18" t="s">
        <v>74</v>
      </c>
      <c r="BQ18" t="s">
        <v>74</v>
      </c>
      <c r="BR18" t="s">
        <v>100</v>
      </c>
      <c r="BS18" t="s">
        <v>434</v>
      </c>
      <c r="BT18" t="str">
        <f>HYPERLINK("https%3A%2F%2Fwww.webofscience.com%2Fwos%2Fwoscc%2Ffull-record%2FWOS:000252571700001","View Full Record in Web of Science")</f>
        <v>View Full Record in Web of Science</v>
      </c>
    </row>
    <row r="19" spans="1:72" x14ac:dyDescent="0.15">
      <c r="A19" t="s">
        <v>72</v>
      </c>
      <c r="B19" t="s">
        <v>435</v>
      </c>
      <c r="C19" t="s">
        <v>74</v>
      </c>
      <c r="D19" t="s">
        <v>74</v>
      </c>
      <c r="E19" t="s">
        <v>74</v>
      </c>
      <c r="F19" t="s">
        <v>436</v>
      </c>
      <c r="G19" t="s">
        <v>74</v>
      </c>
      <c r="H19" t="s">
        <v>74</v>
      </c>
      <c r="I19" t="s">
        <v>437</v>
      </c>
      <c r="J19" t="s">
        <v>233</v>
      </c>
      <c r="K19" t="s">
        <v>74</v>
      </c>
      <c r="L19" t="s">
        <v>74</v>
      </c>
      <c r="M19" t="s">
        <v>78</v>
      </c>
      <c r="N19" t="s">
        <v>438</v>
      </c>
      <c r="O19" t="s">
        <v>74</v>
      </c>
      <c r="P19" t="s">
        <v>74</v>
      </c>
      <c r="Q19" t="s">
        <v>74</v>
      </c>
      <c r="R19" t="s">
        <v>74</v>
      </c>
      <c r="S19" t="s">
        <v>74</v>
      </c>
      <c r="T19" t="s">
        <v>74</v>
      </c>
      <c r="U19" t="s">
        <v>74</v>
      </c>
      <c r="V19" t="s">
        <v>74</v>
      </c>
      <c r="W19" t="s">
        <v>439</v>
      </c>
      <c r="X19" t="s">
        <v>440</v>
      </c>
      <c r="Y19" t="s">
        <v>441</v>
      </c>
      <c r="Z19" t="s">
        <v>442</v>
      </c>
      <c r="AA19" t="s">
        <v>74</v>
      </c>
      <c r="AB19" t="s">
        <v>74</v>
      </c>
      <c r="AC19" t="s">
        <v>443</v>
      </c>
      <c r="AD19" t="s">
        <v>444</v>
      </c>
      <c r="AE19" t="s">
        <v>74</v>
      </c>
      <c r="AF19" t="s">
        <v>74</v>
      </c>
      <c r="AG19">
        <v>6</v>
      </c>
      <c r="AH19">
        <v>2</v>
      </c>
      <c r="AI19">
        <v>2</v>
      </c>
      <c r="AJ19">
        <v>0</v>
      </c>
      <c r="AK19">
        <v>1</v>
      </c>
      <c r="AL19" t="s">
        <v>193</v>
      </c>
      <c r="AM19" t="s">
        <v>194</v>
      </c>
      <c r="AN19" t="s">
        <v>195</v>
      </c>
      <c r="AO19" t="s">
        <v>243</v>
      </c>
      <c r="AP19" t="s">
        <v>326</v>
      </c>
      <c r="AQ19" t="s">
        <v>74</v>
      </c>
      <c r="AR19" t="s">
        <v>244</v>
      </c>
      <c r="AS19" t="s">
        <v>245</v>
      </c>
      <c r="AT19" t="s">
        <v>445</v>
      </c>
      <c r="AU19">
        <v>2008</v>
      </c>
      <c r="AV19">
        <v>35</v>
      </c>
      <c r="AW19">
        <v>2</v>
      </c>
      <c r="AX19" t="s">
        <v>74</v>
      </c>
      <c r="AY19" t="s">
        <v>74</v>
      </c>
      <c r="AZ19" t="s">
        <v>74</v>
      </c>
      <c r="BA19" t="s">
        <v>74</v>
      </c>
      <c r="BB19" t="s">
        <v>74</v>
      </c>
      <c r="BC19" t="s">
        <v>74</v>
      </c>
      <c r="BD19" t="s">
        <v>446</v>
      </c>
      <c r="BE19" t="s">
        <v>447</v>
      </c>
      <c r="BF19" t="str">
        <f>HYPERLINK("http://dx.doi.org/10.1029/2007GL031171","http://dx.doi.org/10.1029/2007GL031171")</f>
        <v>http://dx.doi.org/10.1029/2007GL031171</v>
      </c>
      <c r="BG19" t="s">
        <v>74</v>
      </c>
      <c r="BH19" t="s">
        <v>74</v>
      </c>
      <c r="BI19">
        <v>2</v>
      </c>
      <c r="BJ19" t="s">
        <v>96</v>
      </c>
      <c r="BK19" t="s">
        <v>97</v>
      </c>
      <c r="BL19" t="s">
        <v>98</v>
      </c>
      <c r="BM19" t="s">
        <v>448</v>
      </c>
      <c r="BN19" t="s">
        <v>74</v>
      </c>
      <c r="BO19" t="s">
        <v>179</v>
      </c>
      <c r="BP19" t="s">
        <v>74</v>
      </c>
      <c r="BQ19" t="s">
        <v>74</v>
      </c>
      <c r="BR19" t="s">
        <v>100</v>
      </c>
      <c r="BS19" t="s">
        <v>449</v>
      </c>
      <c r="BT19" t="str">
        <f>HYPERLINK("https%3A%2F%2Fwww.webofscience.com%2Fwos%2Fwoscc%2Ffull-record%2FWOS:000252567100003","View Full Record in Web of Science")</f>
        <v>View Full Record in Web of Science</v>
      </c>
    </row>
    <row r="20" spans="1:72" x14ac:dyDescent="0.15">
      <c r="A20" t="s">
        <v>72</v>
      </c>
      <c r="B20" t="s">
        <v>450</v>
      </c>
      <c r="C20" t="s">
        <v>74</v>
      </c>
      <c r="D20" t="s">
        <v>74</v>
      </c>
      <c r="E20" t="s">
        <v>74</v>
      </c>
      <c r="F20" t="s">
        <v>451</v>
      </c>
      <c r="G20" t="s">
        <v>74</v>
      </c>
      <c r="H20" t="s">
        <v>74</v>
      </c>
      <c r="I20" t="s">
        <v>452</v>
      </c>
      <c r="J20" t="s">
        <v>453</v>
      </c>
      <c r="K20" t="s">
        <v>74</v>
      </c>
      <c r="L20" t="s">
        <v>74</v>
      </c>
      <c r="M20" t="s">
        <v>78</v>
      </c>
      <c r="N20" t="s">
        <v>79</v>
      </c>
      <c r="O20" t="s">
        <v>74</v>
      </c>
      <c r="P20" t="s">
        <v>74</v>
      </c>
      <c r="Q20" t="s">
        <v>74</v>
      </c>
      <c r="R20" t="s">
        <v>74</v>
      </c>
      <c r="S20" t="s">
        <v>74</v>
      </c>
      <c r="T20" t="s">
        <v>74</v>
      </c>
      <c r="U20" t="s">
        <v>454</v>
      </c>
      <c r="V20" t="s">
        <v>455</v>
      </c>
      <c r="W20" t="s">
        <v>456</v>
      </c>
      <c r="X20" t="s">
        <v>457</v>
      </c>
      <c r="Y20" t="s">
        <v>458</v>
      </c>
      <c r="Z20" t="s">
        <v>459</v>
      </c>
      <c r="AA20" t="s">
        <v>460</v>
      </c>
      <c r="AB20" t="s">
        <v>461</v>
      </c>
      <c r="AC20" t="s">
        <v>74</v>
      </c>
      <c r="AD20" t="s">
        <v>74</v>
      </c>
      <c r="AE20" t="s">
        <v>74</v>
      </c>
      <c r="AF20" t="s">
        <v>74</v>
      </c>
      <c r="AG20">
        <v>72</v>
      </c>
      <c r="AH20">
        <v>7</v>
      </c>
      <c r="AI20">
        <v>9</v>
      </c>
      <c r="AJ20">
        <v>0</v>
      </c>
      <c r="AK20">
        <v>11</v>
      </c>
      <c r="AL20" t="s">
        <v>462</v>
      </c>
      <c r="AM20" t="s">
        <v>194</v>
      </c>
      <c r="AN20" t="s">
        <v>463</v>
      </c>
      <c r="AO20" t="s">
        <v>464</v>
      </c>
      <c r="AP20" t="s">
        <v>74</v>
      </c>
      <c r="AQ20" t="s">
        <v>74</v>
      </c>
      <c r="AR20" t="s">
        <v>465</v>
      </c>
      <c r="AS20" t="s">
        <v>466</v>
      </c>
      <c r="AT20" t="s">
        <v>445</v>
      </c>
      <c r="AU20">
        <v>2008</v>
      </c>
      <c r="AV20">
        <v>112</v>
      </c>
      <c r="AW20">
        <v>2</v>
      </c>
      <c r="AX20" t="s">
        <v>74</v>
      </c>
      <c r="AY20" t="s">
        <v>74</v>
      </c>
      <c r="AZ20" t="s">
        <v>74</v>
      </c>
      <c r="BA20" t="s">
        <v>74</v>
      </c>
      <c r="BB20">
        <v>612</v>
      </c>
      <c r="BC20">
        <v>620</v>
      </c>
      <c r="BD20" t="s">
        <v>74</v>
      </c>
      <c r="BE20" t="s">
        <v>467</v>
      </c>
      <c r="BF20" t="str">
        <f>HYPERLINK("http://dx.doi.org/10.1021/jp075828n","http://dx.doi.org/10.1021/jp075828n")</f>
        <v>http://dx.doi.org/10.1021/jp075828n</v>
      </c>
      <c r="BG20" t="s">
        <v>74</v>
      </c>
      <c r="BH20" t="s">
        <v>74</v>
      </c>
      <c r="BI20">
        <v>9</v>
      </c>
      <c r="BJ20" t="s">
        <v>468</v>
      </c>
      <c r="BK20" t="s">
        <v>97</v>
      </c>
      <c r="BL20" t="s">
        <v>469</v>
      </c>
      <c r="BM20" t="s">
        <v>470</v>
      </c>
      <c r="BN20">
        <v>18052146</v>
      </c>
      <c r="BO20" t="s">
        <v>74</v>
      </c>
      <c r="BP20" t="s">
        <v>74</v>
      </c>
      <c r="BQ20" t="s">
        <v>74</v>
      </c>
      <c r="BR20" t="s">
        <v>100</v>
      </c>
      <c r="BS20" t="s">
        <v>471</v>
      </c>
      <c r="BT20" t="str">
        <f>HYPERLINK("https%3A%2F%2Fwww.webofscience.com%2Fwos%2Fwoscc%2Ffull-record%2FWOS:000252287200047","View Full Record in Web of Science")</f>
        <v>View Full Record in Web of Science</v>
      </c>
    </row>
    <row r="21" spans="1:72" x14ac:dyDescent="0.15">
      <c r="A21" t="s">
        <v>72</v>
      </c>
      <c r="B21" t="s">
        <v>472</v>
      </c>
      <c r="C21" t="s">
        <v>74</v>
      </c>
      <c r="D21" t="s">
        <v>74</v>
      </c>
      <c r="E21" t="s">
        <v>74</v>
      </c>
      <c r="F21" t="s">
        <v>473</v>
      </c>
      <c r="G21" t="s">
        <v>74</v>
      </c>
      <c r="H21" t="s">
        <v>74</v>
      </c>
      <c r="I21" t="s">
        <v>474</v>
      </c>
      <c r="J21" t="s">
        <v>475</v>
      </c>
      <c r="K21" t="s">
        <v>74</v>
      </c>
      <c r="L21" t="s">
        <v>74</v>
      </c>
      <c r="M21" t="s">
        <v>78</v>
      </c>
      <c r="N21" t="s">
        <v>79</v>
      </c>
      <c r="O21" t="s">
        <v>74</v>
      </c>
      <c r="P21" t="s">
        <v>74</v>
      </c>
      <c r="Q21" t="s">
        <v>74</v>
      </c>
      <c r="R21" t="s">
        <v>74</v>
      </c>
      <c r="S21" t="s">
        <v>74</v>
      </c>
      <c r="T21" t="s">
        <v>476</v>
      </c>
      <c r="U21" t="s">
        <v>477</v>
      </c>
      <c r="V21" t="s">
        <v>478</v>
      </c>
      <c r="W21" t="s">
        <v>479</v>
      </c>
      <c r="X21" t="s">
        <v>480</v>
      </c>
      <c r="Y21" t="s">
        <v>481</v>
      </c>
      <c r="Z21" t="s">
        <v>482</v>
      </c>
      <c r="AA21" t="s">
        <v>74</v>
      </c>
      <c r="AB21" t="s">
        <v>483</v>
      </c>
      <c r="AC21" t="s">
        <v>74</v>
      </c>
      <c r="AD21" t="s">
        <v>74</v>
      </c>
      <c r="AE21" t="s">
        <v>74</v>
      </c>
      <c r="AF21" t="s">
        <v>74</v>
      </c>
      <c r="AG21">
        <v>37</v>
      </c>
      <c r="AH21">
        <v>31</v>
      </c>
      <c r="AI21">
        <v>41</v>
      </c>
      <c r="AJ21">
        <v>0</v>
      </c>
      <c r="AK21">
        <v>27</v>
      </c>
      <c r="AL21" t="s">
        <v>265</v>
      </c>
      <c r="AM21" t="s">
        <v>266</v>
      </c>
      <c r="AN21" t="s">
        <v>267</v>
      </c>
      <c r="AO21" t="s">
        <v>484</v>
      </c>
      <c r="AP21" t="s">
        <v>485</v>
      </c>
      <c r="AQ21" t="s">
        <v>74</v>
      </c>
      <c r="AR21" t="s">
        <v>486</v>
      </c>
      <c r="AS21" t="s">
        <v>487</v>
      </c>
      <c r="AT21" t="s">
        <v>488</v>
      </c>
      <c r="AU21">
        <v>2008</v>
      </c>
      <c r="AV21">
        <v>108</v>
      </c>
      <c r="AW21" t="s">
        <v>489</v>
      </c>
      <c r="AX21" t="s">
        <v>74</v>
      </c>
      <c r="AY21" t="s">
        <v>74</v>
      </c>
      <c r="AZ21" t="s">
        <v>74</v>
      </c>
      <c r="BA21" t="s">
        <v>74</v>
      </c>
      <c r="BB21">
        <v>184</v>
      </c>
      <c r="BC21">
        <v>194</v>
      </c>
      <c r="BD21" t="s">
        <v>74</v>
      </c>
      <c r="BE21" t="s">
        <v>490</v>
      </c>
      <c r="BF21" t="str">
        <f>HYPERLINK("http://dx.doi.org/10.1016/j.marchem.2007.11.007","http://dx.doi.org/10.1016/j.marchem.2007.11.007")</f>
        <v>http://dx.doi.org/10.1016/j.marchem.2007.11.007</v>
      </c>
      <c r="BG21" t="s">
        <v>74</v>
      </c>
      <c r="BH21" t="s">
        <v>74</v>
      </c>
      <c r="BI21">
        <v>11</v>
      </c>
      <c r="BJ21" t="s">
        <v>491</v>
      </c>
      <c r="BK21" t="s">
        <v>97</v>
      </c>
      <c r="BL21" t="s">
        <v>492</v>
      </c>
      <c r="BM21" t="s">
        <v>493</v>
      </c>
      <c r="BN21" t="s">
        <v>74</v>
      </c>
      <c r="BO21" t="s">
        <v>74</v>
      </c>
      <c r="BP21" t="s">
        <v>74</v>
      </c>
      <c r="BQ21" t="s">
        <v>74</v>
      </c>
      <c r="BR21" t="s">
        <v>100</v>
      </c>
      <c r="BS21" t="s">
        <v>494</v>
      </c>
      <c r="BT21" t="str">
        <f>HYPERLINK("https%3A%2F%2Fwww.webofscience.com%2Fwos%2Fwoscc%2Ffull-record%2FWOS:000253332400005","View Full Record in Web of Science")</f>
        <v>View Full Record in Web of Science</v>
      </c>
    </row>
    <row r="22" spans="1:72" x14ac:dyDescent="0.15">
      <c r="A22" t="s">
        <v>72</v>
      </c>
      <c r="B22" t="s">
        <v>495</v>
      </c>
      <c r="C22" t="s">
        <v>74</v>
      </c>
      <c r="D22" t="s">
        <v>74</v>
      </c>
      <c r="E22" t="s">
        <v>74</v>
      </c>
      <c r="F22" t="s">
        <v>496</v>
      </c>
      <c r="G22" t="s">
        <v>74</v>
      </c>
      <c r="H22" t="s">
        <v>74</v>
      </c>
      <c r="I22" t="s">
        <v>497</v>
      </c>
      <c r="J22" t="s">
        <v>475</v>
      </c>
      <c r="K22" t="s">
        <v>74</v>
      </c>
      <c r="L22" t="s">
        <v>74</v>
      </c>
      <c r="M22" t="s">
        <v>78</v>
      </c>
      <c r="N22" t="s">
        <v>79</v>
      </c>
      <c r="O22" t="s">
        <v>74</v>
      </c>
      <c r="P22" t="s">
        <v>74</v>
      </c>
      <c r="Q22" t="s">
        <v>74</v>
      </c>
      <c r="R22" t="s">
        <v>74</v>
      </c>
      <c r="S22" t="s">
        <v>74</v>
      </c>
      <c r="T22" t="s">
        <v>498</v>
      </c>
      <c r="U22" t="s">
        <v>499</v>
      </c>
      <c r="V22" t="s">
        <v>500</v>
      </c>
      <c r="W22" t="s">
        <v>501</v>
      </c>
      <c r="X22" t="s">
        <v>502</v>
      </c>
      <c r="Y22" t="s">
        <v>503</v>
      </c>
      <c r="Z22" t="s">
        <v>504</v>
      </c>
      <c r="AA22" t="s">
        <v>505</v>
      </c>
      <c r="AB22" t="s">
        <v>74</v>
      </c>
      <c r="AC22" t="s">
        <v>74</v>
      </c>
      <c r="AD22" t="s">
        <v>74</v>
      </c>
      <c r="AE22" t="s">
        <v>74</v>
      </c>
      <c r="AF22" t="s">
        <v>74</v>
      </c>
      <c r="AG22">
        <v>30</v>
      </c>
      <c r="AH22">
        <v>19</v>
      </c>
      <c r="AI22">
        <v>25</v>
      </c>
      <c r="AJ22">
        <v>3</v>
      </c>
      <c r="AK22">
        <v>23</v>
      </c>
      <c r="AL22" t="s">
        <v>506</v>
      </c>
      <c r="AM22" t="s">
        <v>266</v>
      </c>
      <c r="AN22" t="s">
        <v>507</v>
      </c>
      <c r="AO22" t="s">
        <v>484</v>
      </c>
      <c r="AP22" t="s">
        <v>485</v>
      </c>
      <c r="AQ22" t="s">
        <v>74</v>
      </c>
      <c r="AR22" t="s">
        <v>486</v>
      </c>
      <c r="AS22" t="s">
        <v>487</v>
      </c>
      <c r="AT22" t="s">
        <v>488</v>
      </c>
      <c r="AU22">
        <v>2008</v>
      </c>
      <c r="AV22">
        <v>108</v>
      </c>
      <c r="AW22" t="s">
        <v>489</v>
      </c>
      <c r="AX22" t="s">
        <v>74</v>
      </c>
      <c r="AY22" t="s">
        <v>74</v>
      </c>
      <c r="AZ22" t="s">
        <v>74</v>
      </c>
      <c r="BA22" t="s">
        <v>74</v>
      </c>
      <c r="BB22">
        <v>207</v>
      </c>
      <c r="BC22">
        <v>214</v>
      </c>
      <c r="BD22" t="s">
        <v>74</v>
      </c>
      <c r="BE22" t="s">
        <v>508</v>
      </c>
      <c r="BF22" t="str">
        <f>HYPERLINK("http://dx.doi.org/10.1016/j.marchem.2007.11.012","http://dx.doi.org/10.1016/j.marchem.2007.11.012")</f>
        <v>http://dx.doi.org/10.1016/j.marchem.2007.11.012</v>
      </c>
      <c r="BG22" t="s">
        <v>74</v>
      </c>
      <c r="BH22" t="s">
        <v>74</v>
      </c>
      <c r="BI22">
        <v>8</v>
      </c>
      <c r="BJ22" t="s">
        <v>491</v>
      </c>
      <c r="BK22" t="s">
        <v>97</v>
      </c>
      <c r="BL22" t="s">
        <v>492</v>
      </c>
      <c r="BM22" t="s">
        <v>493</v>
      </c>
      <c r="BN22" t="s">
        <v>74</v>
      </c>
      <c r="BO22" t="s">
        <v>74</v>
      </c>
      <c r="BP22" t="s">
        <v>74</v>
      </c>
      <c r="BQ22" t="s">
        <v>74</v>
      </c>
      <c r="BR22" t="s">
        <v>100</v>
      </c>
      <c r="BS22" t="s">
        <v>509</v>
      </c>
      <c r="BT22" t="str">
        <f>HYPERLINK("https%3A%2F%2Fwww.webofscience.com%2Fwos%2Fwoscc%2Ffull-record%2FWOS:000253332400007","View Full Record in Web of Science")</f>
        <v>View Full Record in Web of Science</v>
      </c>
    </row>
    <row r="23" spans="1:72" x14ac:dyDescent="0.15">
      <c r="A23" t="s">
        <v>72</v>
      </c>
      <c r="B23" t="s">
        <v>510</v>
      </c>
      <c r="C23" t="s">
        <v>74</v>
      </c>
      <c r="D23" t="s">
        <v>74</v>
      </c>
      <c r="E23" t="s">
        <v>74</v>
      </c>
      <c r="F23" t="s">
        <v>511</v>
      </c>
      <c r="G23" t="s">
        <v>74</v>
      </c>
      <c r="H23" t="s">
        <v>74</v>
      </c>
      <c r="I23" t="s">
        <v>512</v>
      </c>
      <c r="J23" t="s">
        <v>513</v>
      </c>
      <c r="K23" t="s">
        <v>74</v>
      </c>
      <c r="L23" t="s">
        <v>74</v>
      </c>
      <c r="M23" t="s">
        <v>78</v>
      </c>
      <c r="N23" t="s">
        <v>79</v>
      </c>
      <c r="O23" t="s">
        <v>74</v>
      </c>
      <c r="P23" t="s">
        <v>74</v>
      </c>
      <c r="Q23" t="s">
        <v>74</v>
      </c>
      <c r="R23" t="s">
        <v>74</v>
      </c>
      <c r="S23" t="s">
        <v>74</v>
      </c>
      <c r="T23" t="s">
        <v>514</v>
      </c>
      <c r="U23" t="s">
        <v>515</v>
      </c>
      <c r="V23" t="s">
        <v>516</v>
      </c>
      <c r="W23" t="s">
        <v>517</v>
      </c>
      <c r="X23" t="s">
        <v>518</v>
      </c>
      <c r="Y23" t="s">
        <v>519</v>
      </c>
      <c r="Z23" t="s">
        <v>520</v>
      </c>
      <c r="AA23" t="s">
        <v>74</v>
      </c>
      <c r="AB23" t="s">
        <v>74</v>
      </c>
      <c r="AC23" t="s">
        <v>74</v>
      </c>
      <c r="AD23" t="s">
        <v>74</v>
      </c>
      <c r="AE23" t="s">
        <v>74</v>
      </c>
      <c r="AF23" t="s">
        <v>74</v>
      </c>
      <c r="AG23">
        <v>19</v>
      </c>
      <c r="AH23">
        <v>29</v>
      </c>
      <c r="AI23">
        <v>30</v>
      </c>
      <c r="AJ23">
        <v>0</v>
      </c>
      <c r="AK23">
        <v>9</v>
      </c>
      <c r="AL23" t="s">
        <v>521</v>
      </c>
      <c r="AM23" t="s">
        <v>522</v>
      </c>
      <c r="AN23" t="s">
        <v>523</v>
      </c>
      <c r="AO23" t="s">
        <v>524</v>
      </c>
      <c r="AP23" t="s">
        <v>525</v>
      </c>
      <c r="AQ23" t="s">
        <v>74</v>
      </c>
      <c r="AR23" t="s">
        <v>526</v>
      </c>
      <c r="AS23" t="s">
        <v>527</v>
      </c>
      <c r="AT23" t="s">
        <v>528</v>
      </c>
      <c r="AU23">
        <v>2008</v>
      </c>
      <c r="AV23">
        <v>18</v>
      </c>
      <c r="AW23">
        <v>2</v>
      </c>
      <c r="AX23" t="s">
        <v>74</v>
      </c>
      <c r="AY23" t="s">
        <v>74</v>
      </c>
      <c r="AZ23" t="s">
        <v>74</v>
      </c>
      <c r="BA23" t="s">
        <v>74</v>
      </c>
      <c r="BB23">
        <v>772</v>
      </c>
      <c r="BC23">
        <v>775</v>
      </c>
      <c r="BD23" t="s">
        <v>74</v>
      </c>
      <c r="BE23" t="s">
        <v>529</v>
      </c>
      <c r="BF23" t="str">
        <f>HYPERLINK("http://dx.doi.org/10.1016/j.bmcl.2007.11.036","http://dx.doi.org/10.1016/j.bmcl.2007.11.036")</f>
        <v>http://dx.doi.org/10.1016/j.bmcl.2007.11.036</v>
      </c>
      <c r="BG23" t="s">
        <v>74</v>
      </c>
      <c r="BH23" t="s">
        <v>74</v>
      </c>
      <c r="BI23">
        <v>4</v>
      </c>
      <c r="BJ23" t="s">
        <v>530</v>
      </c>
      <c r="BK23" t="s">
        <v>97</v>
      </c>
      <c r="BL23" t="s">
        <v>531</v>
      </c>
      <c r="BM23" t="s">
        <v>532</v>
      </c>
      <c r="BN23">
        <v>18053716</v>
      </c>
      <c r="BO23" t="s">
        <v>74</v>
      </c>
      <c r="BP23" t="s">
        <v>74</v>
      </c>
      <c r="BQ23" t="s">
        <v>74</v>
      </c>
      <c r="BR23" t="s">
        <v>100</v>
      </c>
      <c r="BS23" t="s">
        <v>533</v>
      </c>
      <c r="BT23" t="str">
        <f>HYPERLINK("https%3A%2F%2Fwww.webofscience.com%2Fwos%2Fwoscc%2Ffull-record%2FWOS:000253410100063","View Full Record in Web of Science")</f>
        <v>View Full Record in Web of Science</v>
      </c>
    </row>
    <row r="24" spans="1:72" x14ac:dyDescent="0.15">
      <c r="A24" t="s">
        <v>72</v>
      </c>
      <c r="B24" t="s">
        <v>534</v>
      </c>
      <c r="C24" t="s">
        <v>74</v>
      </c>
      <c r="D24" t="s">
        <v>74</v>
      </c>
      <c r="E24" t="s">
        <v>74</v>
      </c>
      <c r="F24" t="s">
        <v>535</v>
      </c>
      <c r="G24" t="s">
        <v>74</v>
      </c>
      <c r="H24" t="s">
        <v>74</v>
      </c>
      <c r="I24" t="s">
        <v>536</v>
      </c>
      <c r="J24" t="s">
        <v>537</v>
      </c>
      <c r="K24" t="s">
        <v>74</v>
      </c>
      <c r="L24" t="s">
        <v>74</v>
      </c>
      <c r="M24" t="s">
        <v>78</v>
      </c>
      <c r="N24" t="s">
        <v>79</v>
      </c>
      <c r="O24" t="s">
        <v>74</v>
      </c>
      <c r="P24" t="s">
        <v>74</v>
      </c>
      <c r="Q24" t="s">
        <v>74</v>
      </c>
      <c r="R24" t="s">
        <v>74</v>
      </c>
      <c r="S24" t="s">
        <v>74</v>
      </c>
      <c r="T24" t="s">
        <v>538</v>
      </c>
      <c r="U24" t="s">
        <v>539</v>
      </c>
      <c r="V24" t="s">
        <v>540</v>
      </c>
      <c r="W24" t="s">
        <v>541</v>
      </c>
      <c r="X24" t="s">
        <v>542</v>
      </c>
      <c r="Y24" t="s">
        <v>543</v>
      </c>
      <c r="Z24" t="s">
        <v>544</v>
      </c>
      <c r="AA24" t="s">
        <v>545</v>
      </c>
      <c r="AB24" t="s">
        <v>546</v>
      </c>
      <c r="AC24" t="s">
        <v>74</v>
      </c>
      <c r="AD24" t="s">
        <v>74</v>
      </c>
      <c r="AE24" t="s">
        <v>74</v>
      </c>
      <c r="AF24" t="s">
        <v>74</v>
      </c>
      <c r="AG24">
        <v>66</v>
      </c>
      <c r="AH24">
        <v>35</v>
      </c>
      <c r="AI24">
        <v>41</v>
      </c>
      <c r="AJ24">
        <v>0</v>
      </c>
      <c r="AK24">
        <v>33</v>
      </c>
      <c r="AL24" t="s">
        <v>265</v>
      </c>
      <c r="AM24" t="s">
        <v>266</v>
      </c>
      <c r="AN24" t="s">
        <v>267</v>
      </c>
      <c r="AO24" t="s">
        <v>547</v>
      </c>
      <c r="AP24" t="s">
        <v>548</v>
      </c>
      <c r="AQ24" t="s">
        <v>74</v>
      </c>
      <c r="AR24" t="s">
        <v>549</v>
      </c>
      <c r="AS24" t="s">
        <v>550</v>
      </c>
      <c r="AT24" t="s">
        <v>528</v>
      </c>
      <c r="AU24">
        <v>2008</v>
      </c>
      <c r="AV24">
        <v>265</v>
      </c>
      <c r="AW24" t="s">
        <v>551</v>
      </c>
      <c r="AX24" t="s">
        <v>74</v>
      </c>
      <c r="AY24" t="s">
        <v>74</v>
      </c>
      <c r="AZ24" t="s">
        <v>74</v>
      </c>
      <c r="BA24" t="s">
        <v>74</v>
      </c>
      <c r="BB24">
        <v>33</v>
      </c>
      <c r="BC24">
        <v>48</v>
      </c>
      <c r="BD24" t="s">
        <v>74</v>
      </c>
      <c r="BE24" t="s">
        <v>552</v>
      </c>
      <c r="BF24" t="str">
        <f>HYPERLINK("http://dx.doi.org/10.1016/j.epsl.2007.09.021","http://dx.doi.org/10.1016/j.epsl.2007.09.021")</f>
        <v>http://dx.doi.org/10.1016/j.epsl.2007.09.021</v>
      </c>
      <c r="BG24" t="s">
        <v>74</v>
      </c>
      <c r="BH24" t="s">
        <v>74</v>
      </c>
      <c r="BI24">
        <v>16</v>
      </c>
      <c r="BJ24" t="s">
        <v>553</v>
      </c>
      <c r="BK24" t="s">
        <v>97</v>
      </c>
      <c r="BL24" t="s">
        <v>553</v>
      </c>
      <c r="BM24" t="s">
        <v>554</v>
      </c>
      <c r="BN24" t="s">
        <v>74</v>
      </c>
      <c r="BO24" t="s">
        <v>74</v>
      </c>
      <c r="BP24" t="s">
        <v>74</v>
      </c>
      <c r="BQ24" t="s">
        <v>74</v>
      </c>
      <c r="BR24" t="s">
        <v>100</v>
      </c>
      <c r="BS24" t="s">
        <v>555</v>
      </c>
      <c r="BT24" t="str">
        <f>HYPERLINK("https%3A%2F%2Fwww.webofscience.com%2Fwos%2Fwoscc%2Ffull-record%2FWOS:000253082300003","View Full Record in Web of Science")</f>
        <v>View Full Record in Web of Science</v>
      </c>
    </row>
    <row r="25" spans="1:72" x14ac:dyDescent="0.15">
      <c r="A25" t="s">
        <v>72</v>
      </c>
      <c r="B25" t="s">
        <v>556</v>
      </c>
      <c r="C25" t="s">
        <v>74</v>
      </c>
      <c r="D25" t="s">
        <v>74</v>
      </c>
      <c r="E25" t="s">
        <v>74</v>
      </c>
      <c r="F25" t="s">
        <v>557</v>
      </c>
      <c r="G25" t="s">
        <v>74</v>
      </c>
      <c r="H25" t="s">
        <v>74</v>
      </c>
      <c r="I25" t="s">
        <v>558</v>
      </c>
      <c r="J25" t="s">
        <v>537</v>
      </c>
      <c r="K25" t="s">
        <v>74</v>
      </c>
      <c r="L25" t="s">
        <v>74</v>
      </c>
      <c r="M25" t="s">
        <v>78</v>
      </c>
      <c r="N25" t="s">
        <v>79</v>
      </c>
      <c r="O25" t="s">
        <v>74</v>
      </c>
      <c r="P25" t="s">
        <v>74</v>
      </c>
      <c r="Q25" t="s">
        <v>74</v>
      </c>
      <c r="R25" t="s">
        <v>74</v>
      </c>
      <c r="S25" t="s">
        <v>74</v>
      </c>
      <c r="T25" t="s">
        <v>559</v>
      </c>
      <c r="U25" t="s">
        <v>560</v>
      </c>
      <c r="V25" t="s">
        <v>561</v>
      </c>
      <c r="W25" t="s">
        <v>562</v>
      </c>
      <c r="X25" t="s">
        <v>563</v>
      </c>
      <c r="Y25" t="s">
        <v>564</v>
      </c>
      <c r="Z25" t="s">
        <v>565</v>
      </c>
      <c r="AA25" t="s">
        <v>566</v>
      </c>
      <c r="AB25" t="s">
        <v>567</v>
      </c>
      <c r="AC25" t="s">
        <v>568</v>
      </c>
      <c r="AD25" t="s">
        <v>444</v>
      </c>
      <c r="AE25" t="s">
        <v>74</v>
      </c>
      <c r="AF25" t="s">
        <v>74</v>
      </c>
      <c r="AG25">
        <v>42</v>
      </c>
      <c r="AH25">
        <v>101</v>
      </c>
      <c r="AI25">
        <v>110</v>
      </c>
      <c r="AJ25">
        <v>2</v>
      </c>
      <c r="AK25">
        <v>45</v>
      </c>
      <c r="AL25" t="s">
        <v>506</v>
      </c>
      <c r="AM25" t="s">
        <v>266</v>
      </c>
      <c r="AN25" t="s">
        <v>507</v>
      </c>
      <c r="AO25" t="s">
        <v>547</v>
      </c>
      <c r="AP25" t="s">
        <v>548</v>
      </c>
      <c r="AQ25" t="s">
        <v>74</v>
      </c>
      <c r="AR25" t="s">
        <v>549</v>
      </c>
      <c r="AS25" t="s">
        <v>550</v>
      </c>
      <c r="AT25" t="s">
        <v>528</v>
      </c>
      <c r="AU25">
        <v>2008</v>
      </c>
      <c r="AV25">
        <v>265</v>
      </c>
      <c r="AW25" t="s">
        <v>551</v>
      </c>
      <c r="AX25" t="s">
        <v>74</v>
      </c>
      <c r="AY25" t="s">
        <v>74</v>
      </c>
      <c r="AZ25" t="s">
        <v>74</v>
      </c>
      <c r="BA25" t="s">
        <v>74</v>
      </c>
      <c r="BB25">
        <v>112</v>
      </c>
      <c r="BC25">
        <v>122</v>
      </c>
      <c r="BD25" t="s">
        <v>74</v>
      </c>
      <c r="BE25" t="s">
        <v>569</v>
      </c>
      <c r="BF25" t="str">
        <f>HYPERLINK("http://dx.doi.org/10.1016/j.epsl.2007.09.045","http://dx.doi.org/10.1016/j.epsl.2007.09.045")</f>
        <v>http://dx.doi.org/10.1016/j.epsl.2007.09.045</v>
      </c>
      <c r="BG25" t="s">
        <v>74</v>
      </c>
      <c r="BH25" t="s">
        <v>74</v>
      </c>
      <c r="BI25">
        <v>11</v>
      </c>
      <c r="BJ25" t="s">
        <v>553</v>
      </c>
      <c r="BK25" t="s">
        <v>97</v>
      </c>
      <c r="BL25" t="s">
        <v>553</v>
      </c>
      <c r="BM25" t="s">
        <v>554</v>
      </c>
      <c r="BN25" t="s">
        <v>74</v>
      </c>
      <c r="BO25" t="s">
        <v>74</v>
      </c>
      <c r="BP25" t="s">
        <v>74</v>
      </c>
      <c r="BQ25" t="s">
        <v>74</v>
      </c>
      <c r="BR25" t="s">
        <v>100</v>
      </c>
      <c r="BS25" t="s">
        <v>570</v>
      </c>
      <c r="BT25" t="str">
        <f>HYPERLINK("https%3A%2F%2Fwww.webofscience.com%2Fwos%2Fwoscc%2Ffull-record%2FWOS:000253082300008","View Full Record in Web of Science")</f>
        <v>View Full Record in Web of Science</v>
      </c>
    </row>
    <row r="26" spans="1:72" x14ac:dyDescent="0.15">
      <c r="A26" t="s">
        <v>72</v>
      </c>
      <c r="B26" t="s">
        <v>571</v>
      </c>
      <c r="C26" t="s">
        <v>74</v>
      </c>
      <c r="D26" t="s">
        <v>74</v>
      </c>
      <c r="E26" t="s">
        <v>74</v>
      </c>
      <c r="F26" t="s">
        <v>572</v>
      </c>
      <c r="G26" t="s">
        <v>74</v>
      </c>
      <c r="H26" t="s">
        <v>74</v>
      </c>
      <c r="I26" t="s">
        <v>573</v>
      </c>
      <c r="J26" t="s">
        <v>574</v>
      </c>
      <c r="K26" t="s">
        <v>74</v>
      </c>
      <c r="L26" t="s">
        <v>74</v>
      </c>
      <c r="M26" t="s">
        <v>78</v>
      </c>
      <c r="N26" t="s">
        <v>79</v>
      </c>
      <c r="O26" t="s">
        <v>74</v>
      </c>
      <c r="P26" t="s">
        <v>74</v>
      </c>
      <c r="Q26" t="s">
        <v>74</v>
      </c>
      <c r="R26" t="s">
        <v>74</v>
      </c>
      <c r="S26" t="s">
        <v>74</v>
      </c>
      <c r="T26" t="s">
        <v>74</v>
      </c>
      <c r="U26" t="s">
        <v>575</v>
      </c>
      <c r="V26" t="s">
        <v>576</v>
      </c>
      <c r="W26" t="s">
        <v>577</v>
      </c>
      <c r="X26" t="s">
        <v>578</v>
      </c>
      <c r="Y26" t="s">
        <v>579</v>
      </c>
      <c r="Z26" t="s">
        <v>580</v>
      </c>
      <c r="AA26" t="s">
        <v>581</v>
      </c>
      <c r="AB26" t="s">
        <v>582</v>
      </c>
      <c r="AC26" t="s">
        <v>74</v>
      </c>
      <c r="AD26" t="s">
        <v>74</v>
      </c>
      <c r="AE26" t="s">
        <v>74</v>
      </c>
      <c r="AF26" t="s">
        <v>74</v>
      </c>
      <c r="AG26">
        <v>67</v>
      </c>
      <c r="AH26">
        <v>80</v>
      </c>
      <c r="AI26">
        <v>92</v>
      </c>
      <c r="AJ26">
        <v>0</v>
      </c>
      <c r="AK26">
        <v>35</v>
      </c>
      <c r="AL26" t="s">
        <v>583</v>
      </c>
      <c r="AM26" t="s">
        <v>584</v>
      </c>
      <c r="AN26" t="s">
        <v>585</v>
      </c>
      <c r="AO26" t="s">
        <v>586</v>
      </c>
      <c r="AP26" t="s">
        <v>587</v>
      </c>
      <c r="AQ26" t="s">
        <v>74</v>
      </c>
      <c r="AR26" t="s">
        <v>588</v>
      </c>
      <c r="AS26" t="s">
        <v>589</v>
      </c>
      <c r="AT26" t="s">
        <v>528</v>
      </c>
      <c r="AU26">
        <v>2008</v>
      </c>
      <c r="AV26">
        <v>21</v>
      </c>
      <c r="AW26">
        <v>2</v>
      </c>
      <c r="AX26" t="s">
        <v>74</v>
      </c>
      <c r="AY26" t="s">
        <v>74</v>
      </c>
      <c r="AZ26" t="s">
        <v>74</v>
      </c>
      <c r="BA26" t="s">
        <v>74</v>
      </c>
      <c r="BB26">
        <v>364</v>
      </c>
      <c r="BC26">
        <v>384</v>
      </c>
      <c r="BD26" t="s">
        <v>74</v>
      </c>
      <c r="BE26" t="s">
        <v>590</v>
      </c>
      <c r="BF26" t="str">
        <f>HYPERLINK("http://dx.doi.org/10.1175/2007JCLI1748.1","http://dx.doi.org/10.1175/2007JCLI1748.1")</f>
        <v>http://dx.doi.org/10.1175/2007JCLI1748.1</v>
      </c>
      <c r="BG26" t="s">
        <v>74</v>
      </c>
      <c r="BH26" t="s">
        <v>74</v>
      </c>
      <c r="BI26">
        <v>21</v>
      </c>
      <c r="BJ26" t="s">
        <v>204</v>
      </c>
      <c r="BK26" t="s">
        <v>97</v>
      </c>
      <c r="BL26" t="s">
        <v>204</v>
      </c>
      <c r="BM26" t="s">
        <v>591</v>
      </c>
      <c r="BN26" t="s">
        <v>74</v>
      </c>
      <c r="BO26" t="s">
        <v>592</v>
      </c>
      <c r="BP26" t="s">
        <v>74</v>
      </c>
      <c r="BQ26" t="s">
        <v>74</v>
      </c>
      <c r="BR26" t="s">
        <v>100</v>
      </c>
      <c r="BS26" t="s">
        <v>593</v>
      </c>
      <c r="BT26" t="str">
        <f>HYPERLINK("https%3A%2F%2Fwww.webofscience.com%2Fwos%2Fwoscc%2Ffull-record%2FWOS:000252704600012","View Full Record in Web of Science")</f>
        <v>View Full Record in Web of Science</v>
      </c>
    </row>
    <row r="27" spans="1:72" x14ac:dyDescent="0.15">
      <c r="A27" t="s">
        <v>72</v>
      </c>
      <c r="B27" t="s">
        <v>594</v>
      </c>
      <c r="C27" t="s">
        <v>74</v>
      </c>
      <c r="D27" t="s">
        <v>74</v>
      </c>
      <c r="E27" t="s">
        <v>74</v>
      </c>
      <c r="F27" t="s">
        <v>595</v>
      </c>
      <c r="G27" t="s">
        <v>74</v>
      </c>
      <c r="H27" t="s">
        <v>74</v>
      </c>
      <c r="I27" t="s">
        <v>596</v>
      </c>
      <c r="J27" t="s">
        <v>233</v>
      </c>
      <c r="K27" t="s">
        <v>74</v>
      </c>
      <c r="L27" t="s">
        <v>74</v>
      </c>
      <c r="M27" t="s">
        <v>78</v>
      </c>
      <c r="N27" t="s">
        <v>79</v>
      </c>
      <c r="O27" t="s">
        <v>74</v>
      </c>
      <c r="P27" t="s">
        <v>74</v>
      </c>
      <c r="Q27" t="s">
        <v>74</v>
      </c>
      <c r="R27" t="s">
        <v>74</v>
      </c>
      <c r="S27" t="s">
        <v>74</v>
      </c>
      <c r="T27" t="s">
        <v>74</v>
      </c>
      <c r="U27" t="s">
        <v>597</v>
      </c>
      <c r="V27" t="s">
        <v>598</v>
      </c>
      <c r="W27" t="s">
        <v>599</v>
      </c>
      <c r="X27" t="s">
        <v>600</v>
      </c>
      <c r="Y27" t="s">
        <v>601</v>
      </c>
      <c r="Z27" t="s">
        <v>602</v>
      </c>
      <c r="AA27" t="s">
        <v>603</v>
      </c>
      <c r="AB27" t="s">
        <v>604</v>
      </c>
      <c r="AC27" t="s">
        <v>605</v>
      </c>
      <c r="AD27" t="s">
        <v>242</v>
      </c>
      <c r="AE27" t="s">
        <v>74</v>
      </c>
      <c r="AF27" t="s">
        <v>74</v>
      </c>
      <c r="AG27">
        <v>30</v>
      </c>
      <c r="AH27">
        <v>140</v>
      </c>
      <c r="AI27">
        <v>153</v>
      </c>
      <c r="AJ27">
        <v>0</v>
      </c>
      <c r="AK27">
        <v>29</v>
      </c>
      <c r="AL27" t="s">
        <v>193</v>
      </c>
      <c r="AM27" t="s">
        <v>194</v>
      </c>
      <c r="AN27" t="s">
        <v>195</v>
      </c>
      <c r="AO27" t="s">
        <v>243</v>
      </c>
      <c r="AP27" t="s">
        <v>326</v>
      </c>
      <c r="AQ27" t="s">
        <v>74</v>
      </c>
      <c r="AR27" t="s">
        <v>244</v>
      </c>
      <c r="AS27" t="s">
        <v>245</v>
      </c>
      <c r="AT27" t="s">
        <v>606</v>
      </c>
      <c r="AU27">
        <v>2008</v>
      </c>
      <c r="AV27">
        <v>35</v>
      </c>
      <c r="AW27">
        <v>1</v>
      </c>
      <c r="AX27" t="s">
        <v>74</v>
      </c>
      <c r="AY27" t="s">
        <v>74</v>
      </c>
      <c r="AZ27" t="s">
        <v>74</v>
      </c>
      <c r="BA27" t="s">
        <v>74</v>
      </c>
      <c r="BB27" t="s">
        <v>74</v>
      </c>
      <c r="BC27" t="s">
        <v>74</v>
      </c>
      <c r="BD27" t="s">
        <v>607</v>
      </c>
      <c r="BE27" t="s">
        <v>608</v>
      </c>
      <c r="BF27" t="str">
        <f>HYPERLINK("http://dx.doi.org/10.1029/2007GL032529","http://dx.doi.org/10.1029/2007GL032529")</f>
        <v>http://dx.doi.org/10.1029/2007GL032529</v>
      </c>
      <c r="BG27" t="s">
        <v>74</v>
      </c>
      <c r="BH27" t="s">
        <v>74</v>
      </c>
      <c r="BI27">
        <v>5</v>
      </c>
      <c r="BJ27" t="s">
        <v>96</v>
      </c>
      <c r="BK27" t="s">
        <v>97</v>
      </c>
      <c r="BL27" t="s">
        <v>98</v>
      </c>
      <c r="BM27" t="s">
        <v>609</v>
      </c>
      <c r="BN27" t="s">
        <v>74</v>
      </c>
      <c r="BO27" t="s">
        <v>610</v>
      </c>
      <c r="BP27" t="s">
        <v>74</v>
      </c>
      <c r="BQ27" t="s">
        <v>74</v>
      </c>
      <c r="BR27" t="s">
        <v>100</v>
      </c>
      <c r="BS27" t="s">
        <v>611</v>
      </c>
      <c r="BT27" t="str">
        <f>HYPERLINK("https%3A%2F%2Fwww.webofscience.com%2Fwos%2Fwoscc%2Ffull-record%2FWOS:000252362100007","View Full Record in Web of Science")</f>
        <v>View Full Record in Web of Science</v>
      </c>
    </row>
    <row r="28" spans="1:72" x14ac:dyDescent="0.15">
      <c r="A28" t="s">
        <v>72</v>
      </c>
      <c r="B28" t="s">
        <v>612</v>
      </c>
      <c r="C28" t="s">
        <v>74</v>
      </c>
      <c r="D28" t="s">
        <v>74</v>
      </c>
      <c r="E28" t="s">
        <v>74</v>
      </c>
      <c r="F28" t="s">
        <v>613</v>
      </c>
      <c r="G28" t="s">
        <v>74</v>
      </c>
      <c r="H28" t="s">
        <v>74</v>
      </c>
      <c r="I28" t="s">
        <v>614</v>
      </c>
      <c r="J28" t="s">
        <v>615</v>
      </c>
      <c r="K28" t="s">
        <v>74</v>
      </c>
      <c r="L28" t="s">
        <v>74</v>
      </c>
      <c r="M28" t="s">
        <v>78</v>
      </c>
      <c r="N28" t="s">
        <v>79</v>
      </c>
      <c r="O28" t="s">
        <v>74</v>
      </c>
      <c r="P28" t="s">
        <v>74</v>
      </c>
      <c r="Q28" t="s">
        <v>74</v>
      </c>
      <c r="R28" t="s">
        <v>74</v>
      </c>
      <c r="S28" t="s">
        <v>74</v>
      </c>
      <c r="T28" t="s">
        <v>74</v>
      </c>
      <c r="U28" t="s">
        <v>616</v>
      </c>
      <c r="V28" t="s">
        <v>617</v>
      </c>
      <c r="W28" t="s">
        <v>618</v>
      </c>
      <c r="X28" t="s">
        <v>619</v>
      </c>
      <c r="Y28" t="s">
        <v>620</v>
      </c>
      <c r="Z28" t="s">
        <v>621</v>
      </c>
      <c r="AA28" t="s">
        <v>74</v>
      </c>
      <c r="AB28" t="s">
        <v>622</v>
      </c>
      <c r="AC28" t="s">
        <v>74</v>
      </c>
      <c r="AD28" t="s">
        <v>74</v>
      </c>
      <c r="AE28" t="s">
        <v>74</v>
      </c>
      <c r="AF28" t="s">
        <v>74</v>
      </c>
      <c r="AG28">
        <v>40</v>
      </c>
      <c r="AH28">
        <v>49</v>
      </c>
      <c r="AI28">
        <v>55</v>
      </c>
      <c r="AJ28">
        <v>1</v>
      </c>
      <c r="AK28">
        <v>5</v>
      </c>
      <c r="AL28" t="s">
        <v>193</v>
      </c>
      <c r="AM28" t="s">
        <v>194</v>
      </c>
      <c r="AN28" t="s">
        <v>195</v>
      </c>
      <c r="AO28" t="s">
        <v>623</v>
      </c>
      <c r="AP28" t="s">
        <v>624</v>
      </c>
      <c r="AQ28" t="s">
        <v>74</v>
      </c>
      <c r="AR28" t="s">
        <v>625</v>
      </c>
      <c r="AS28" t="s">
        <v>626</v>
      </c>
      <c r="AT28" t="s">
        <v>606</v>
      </c>
      <c r="AU28">
        <v>2008</v>
      </c>
      <c r="AV28">
        <v>113</v>
      </c>
      <c r="AW28" t="s">
        <v>627</v>
      </c>
      <c r="AX28" t="s">
        <v>74</v>
      </c>
      <c r="AY28" t="s">
        <v>74</v>
      </c>
      <c r="AZ28" t="s">
        <v>74</v>
      </c>
      <c r="BA28" t="s">
        <v>74</v>
      </c>
      <c r="BB28" t="s">
        <v>74</v>
      </c>
      <c r="BC28" t="s">
        <v>74</v>
      </c>
      <c r="BD28" t="s">
        <v>628</v>
      </c>
      <c r="BE28" t="s">
        <v>629</v>
      </c>
      <c r="BF28" t="str">
        <f>HYPERLINK("http://dx.doi.org/10.1029/2007JC004139","http://dx.doi.org/10.1029/2007JC004139")</f>
        <v>http://dx.doi.org/10.1029/2007JC004139</v>
      </c>
      <c r="BG28" t="s">
        <v>74</v>
      </c>
      <c r="BH28" t="s">
        <v>74</v>
      </c>
      <c r="BI28">
        <v>15</v>
      </c>
      <c r="BJ28" t="s">
        <v>630</v>
      </c>
      <c r="BK28" t="s">
        <v>97</v>
      </c>
      <c r="BL28" t="s">
        <v>630</v>
      </c>
      <c r="BM28" t="s">
        <v>631</v>
      </c>
      <c r="BN28" t="s">
        <v>74</v>
      </c>
      <c r="BO28" t="s">
        <v>632</v>
      </c>
      <c r="BP28" t="s">
        <v>74</v>
      </c>
      <c r="BQ28" t="s">
        <v>74</v>
      </c>
      <c r="BR28" t="s">
        <v>100</v>
      </c>
      <c r="BS28" t="s">
        <v>633</v>
      </c>
      <c r="BT28" t="str">
        <f>HYPERLINK("https%3A%2F%2Fwww.webofscience.com%2Fwos%2Fwoscc%2Ffull-record%2FWOS:000252364600001","View Full Record in Web of Science")</f>
        <v>View Full Record in Web of Science</v>
      </c>
    </row>
    <row r="29" spans="1:72" x14ac:dyDescent="0.15">
      <c r="A29" t="s">
        <v>72</v>
      </c>
      <c r="B29" t="s">
        <v>634</v>
      </c>
      <c r="C29" t="s">
        <v>74</v>
      </c>
      <c r="D29" t="s">
        <v>74</v>
      </c>
      <c r="E29" t="s">
        <v>74</v>
      </c>
      <c r="F29" t="s">
        <v>635</v>
      </c>
      <c r="G29" t="s">
        <v>74</v>
      </c>
      <c r="H29" t="s">
        <v>74</v>
      </c>
      <c r="I29" t="s">
        <v>636</v>
      </c>
      <c r="J29" t="s">
        <v>615</v>
      </c>
      <c r="K29" t="s">
        <v>74</v>
      </c>
      <c r="L29" t="s">
        <v>74</v>
      </c>
      <c r="M29" t="s">
        <v>78</v>
      </c>
      <c r="N29" t="s">
        <v>79</v>
      </c>
      <c r="O29" t="s">
        <v>74</v>
      </c>
      <c r="P29" t="s">
        <v>74</v>
      </c>
      <c r="Q29" t="s">
        <v>74</v>
      </c>
      <c r="R29" t="s">
        <v>74</v>
      </c>
      <c r="S29" t="s">
        <v>74</v>
      </c>
      <c r="T29" t="s">
        <v>74</v>
      </c>
      <c r="U29" t="s">
        <v>637</v>
      </c>
      <c r="V29" t="s">
        <v>638</v>
      </c>
      <c r="W29" t="s">
        <v>639</v>
      </c>
      <c r="X29" t="s">
        <v>640</v>
      </c>
      <c r="Y29" t="s">
        <v>641</v>
      </c>
      <c r="Z29" t="s">
        <v>642</v>
      </c>
      <c r="AA29" t="s">
        <v>643</v>
      </c>
      <c r="AB29" t="s">
        <v>644</v>
      </c>
      <c r="AC29" t="s">
        <v>74</v>
      </c>
      <c r="AD29" t="s">
        <v>74</v>
      </c>
      <c r="AE29" t="s">
        <v>74</v>
      </c>
      <c r="AF29" t="s">
        <v>74</v>
      </c>
      <c r="AG29">
        <v>46</v>
      </c>
      <c r="AH29">
        <v>21</v>
      </c>
      <c r="AI29">
        <v>25</v>
      </c>
      <c r="AJ29">
        <v>0</v>
      </c>
      <c r="AK29">
        <v>7</v>
      </c>
      <c r="AL29" t="s">
        <v>193</v>
      </c>
      <c r="AM29" t="s">
        <v>194</v>
      </c>
      <c r="AN29" t="s">
        <v>195</v>
      </c>
      <c r="AO29" t="s">
        <v>623</v>
      </c>
      <c r="AP29" t="s">
        <v>624</v>
      </c>
      <c r="AQ29" t="s">
        <v>74</v>
      </c>
      <c r="AR29" t="s">
        <v>625</v>
      </c>
      <c r="AS29" t="s">
        <v>626</v>
      </c>
      <c r="AT29" t="s">
        <v>606</v>
      </c>
      <c r="AU29">
        <v>2008</v>
      </c>
      <c r="AV29">
        <v>113</v>
      </c>
      <c r="AW29" t="s">
        <v>645</v>
      </c>
      <c r="AX29" t="s">
        <v>74</v>
      </c>
      <c r="AY29" t="s">
        <v>74</v>
      </c>
      <c r="AZ29" t="s">
        <v>74</v>
      </c>
      <c r="BA29" t="s">
        <v>74</v>
      </c>
      <c r="BB29" t="s">
        <v>74</v>
      </c>
      <c r="BC29" t="s">
        <v>74</v>
      </c>
      <c r="BD29" t="s">
        <v>646</v>
      </c>
      <c r="BE29" t="s">
        <v>647</v>
      </c>
      <c r="BF29" t="str">
        <f>HYPERLINK("http://dx.doi.org/10.1029/2007JC004190","http://dx.doi.org/10.1029/2007JC004190")</f>
        <v>http://dx.doi.org/10.1029/2007JC004190</v>
      </c>
      <c r="BG29" t="s">
        <v>74</v>
      </c>
      <c r="BH29" t="s">
        <v>74</v>
      </c>
      <c r="BI29">
        <v>15</v>
      </c>
      <c r="BJ29" t="s">
        <v>630</v>
      </c>
      <c r="BK29" t="s">
        <v>97</v>
      </c>
      <c r="BL29" t="s">
        <v>630</v>
      </c>
      <c r="BM29" t="s">
        <v>648</v>
      </c>
      <c r="BN29" t="s">
        <v>74</v>
      </c>
      <c r="BO29" t="s">
        <v>649</v>
      </c>
      <c r="BP29" t="s">
        <v>74</v>
      </c>
      <c r="BQ29" t="s">
        <v>74</v>
      </c>
      <c r="BR29" t="s">
        <v>100</v>
      </c>
      <c r="BS29" t="s">
        <v>650</v>
      </c>
      <c r="BT29" t="str">
        <f>HYPERLINK("https%3A%2F%2Fwww.webofscience.com%2Fwos%2Fwoscc%2Ffull-record%2FWOS:000252364200003","View Full Record in Web of Science")</f>
        <v>View Full Record in Web of Science</v>
      </c>
    </row>
    <row r="30" spans="1:72" x14ac:dyDescent="0.15">
      <c r="A30" t="s">
        <v>72</v>
      </c>
      <c r="B30" t="s">
        <v>651</v>
      </c>
      <c r="C30" t="s">
        <v>74</v>
      </c>
      <c r="D30" t="s">
        <v>74</v>
      </c>
      <c r="E30" t="s">
        <v>74</v>
      </c>
      <c r="F30" t="s">
        <v>652</v>
      </c>
      <c r="G30" t="s">
        <v>74</v>
      </c>
      <c r="H30" t="s">
        <v>74</v>
      </c>
      <c r="I30" t="s">
        <v>653</v>
      </c>
      <c r="J30" t="s">
        <v>654</v>
      </c>
      <c r="K30" t="s">
        <v>74</v>
      </c>
      <c r="L30" t="s">
        <v>74</v>
      </c>
      <c r="M30" t="s">
        <v>78</v>
      </c>
      <c r="N30" t="s">
        <v>106</v>
      </c>
      <c r="O30" t="s">
        <v>74</v>
      </c>
      <c r="P30" t="s">
        <v>74</v>
      </c>
      <c r="Q30" t="s">
        <v>74</v>
      </c>
      <c r="R30" t="s">
        <v>74</v>
      </c>
      <c r="S30" t="s">
        <v>74</v>
      </c>
      <c r="T30" t="s">
        <v>74</v>
      </c>
      <c r="U30" t="s">
        <v>655</v>
      </c>
      <c r="V30" t="s">
        <v>656</v>
      </c>
      <c r="W30" t="s">
        <v>657</v>
      </c>
      <c r="X30" t="s">
        <v>658</v>
      </c>
      <c r="Y30" t="s">
        <v>659</v>
      </c>
      <c r="Z30" t="s">
        <v>660</v>
      </c>
      <c r="AA30" t="s">
        <v>74</v>
      </c>
      <c r="AB30" t="s">
        <v>74</v>
      </c>
      <c r="AC30" t="s">
        <v>74</v>
      </c>
      <c r="AD30" t="s">
        <v>74</v>
      </c>
      <c r="AE30" t="s">
        <v>74</v>
      </c>
      <c r="AF30" t="s">
        <v>74</v>
      </c>
      <c r="AG30">
        <v>134</v>
      </c>
      <c r="AH30">
        <v>184</v>
      </c>
      <c r="AI30">
        <v>215</v>
      </c>
      <c r="AJ30">
        <v>6</v>
      </c>
      <c r="AK30">
        <v>62</v>
      </c>
      <c r="AL30" t="s">
        <v>661</v>
      </c>
      <c r="AM30" t="s">
        <v>662</v>
      </c>
      <c r="AN30" t="s">
        <v>663</v>
      </c>
      <c r="AO30" t="s">
        <v>664</v>
      </c>
      <c r="AP30" t="s">
        <v>665</v>
      </c>
      <c r="AQ30" t="s">
        <v>74</v>
      </c>
      <c r="AR30" t="s">
        <v>654</v>
      </c>
      <c r="AS30" t="s">
        <v>666</v>
      </c>
      <c r="AT30" t="s">
        <v>606</v>
      </c>
      <c r="AU30">
        <v>2008</v>
      </c>
      <c r="AV30">
        <v>371</v>
      </c>
      <c r="AW30">
        <v>9607</v>
      </c>
      <c r="AX30" t="s">
        <v>74</v>
      </c>
      <c r="AY30" t="s">
        <v>74</v>
      </c>
      <c r="AZ30" t="s">
        <v>74</v>
      </c>
      <c r="BA30" t="s">
        <v>74</v>
      </c>
      <c r="BB30">
        <v>153</v>
      </c>
      <c r="BC30">
        <v>163</v>
      </c>
      <c r="BD30" t="s">
        <v>74</v>
      </c>
      <c r="BE30" t="s">
        <v>667</v>
      </c>
      <c r="BF30" t="str">
        <f>HYPERLINK("http://dx.doi.org/10.1016/S0140-6736(07)61056-3","http://dx.doi.org/10.1016/S0140-6736(07)61056-3")</f>
        <v>http://dx.doi.org/10.1016/S0140-6736(07)61056-3</v>
      </c>
      <c r="BG30" t="s">
        <v>74</v>
      </c>
      <c r="BH30" t="s">
        <v>74</v>
      </c>
      <c r="BI30">
        <v>11</v>
      </c>
      <c r="BJ30" t="s">
        <v>668</v>
      </c>
      <c r="BK30" t="s">
        <v>669</v>
      </c>
      <c r="BL30" t="s">
        <v>670</v>
      </c>
      <c r="BM30" t="s">
        <v>671</v>
      </c>
      <c r="BN30">
        <v>17655924</v>
      </c>
      <c r="BO30" t="s">
        <v>74</v>
      </c>
      <c r="BP30" t="s">
        <v>74</v>
      </c>
      <c r="BQ30" t="s">
        <v>74</v>
      </c>
      <c r="BR30" t="s">
        <v>100</v>
      </c>
      <c r="BS30" t="s">
        <v>672</v>
      </c>
      <c r="BT30" t="str">
        <f>HYPERLINK("https%3A%2F%2Fwww.webofscience.com%2Fwos%2Fwoscc%2Ffull-record%2FWOS:000252452300030","View Full Record in Web of Science")</f>
        <v>View Full Record in Web of Science</v>
      </c>
    </row>
    <row r="31" spans="1:72" x14ac:dyDescent="0.15">
      <c r="A31" t="s">
        <v>72</v>
      </c>
      <c r="B31" t="s">
        <v>673</v>
      </c>
      <c r="C31" t="s">
        <v>74</v>
      </c>
      <c r="D31" t="s">
        <v>74</v>
      </c>
      <c r="E31" t="s">
        <v>74</v>
      </c>
      <c r="F31" t="s">
        <v>674</v>
      </c>
      <c r="G31" t="s">
        <v>74</v>
      </c>
      <c r="H31" t="s">
        <v>74</v>
      </c>
      <c r="I31" t="s">
        <v>675</v>
      </c>
      <c r="J31" t="s">
        <v>676</v>
      </c>
      <c r="K31" t="s">
        <v>74</v>
      </c>
      <c r="L31" t="s">
        <v>74</v>
      </c>
      <c r="M31" t="s">
        <v>78</v>
      </c>
      <c r="N31" t="s">
        <v>438</v>
      </c>
      <c r="O31" t="s">
        <v>74</v>
      </c>
      <c r="P31" t="s">
        <v>74</v>
      </c>
      <c r="Q31" t="s">
        <v>74</v>
      </c>
      <c r="R31" t="s">
        <v>74</v>
      </c>
      <c r="S31" t="s">
        <v>74</v>
      </c>
      <c r="T31" t="s">
        <v>74</v>
      </c>
      <c r="U31" t="s">
        <v>74</v>
      </c>
      <c r="V31" t="s">
        <v>74</v>
      </c>
      <c r="W31" t="s">
        <v>74</v>
      </c>
      <c r="X31" t="s">
        <v>74</v>
      </c>
      <c r="Y31" t="s">
        <v>74</v>
      </c>
      <c r="Z31" t="s">
        <v>74</v>
      </c>
      <c r="AA31" t="s">
        <v>74</v>
      </c>
      <c r="AB31" t="s">
        <v>74</v>
      </c>
      <c r="AC31" t="s">
        <v>74</v>
      </c>
      <c r="AD31" t="s">
        <v>74</v>
      </c>
      <c r="AE31" t="s">
        <v>74</v>
      </c>
      <c r="AF31" t="s">
        <v>74</v>
      </c>
      <c r="AG31">
        <v>0</v>
      </c>
      <c r="AH31">
        <v>0</v>
      </c>
      <c r="AI31">
        <v>0</v>
      </c>
      <c r="AJ31">
        <v>0</v>
      </c>
      <c r="AK31">
        <v>0</v>
      </c>
      <c r="AL31" t="s">
        <v>677</v>
      </c>
      <c r="AM31" t="s">
        <v>678</v>
      </c>
      <c r="AN31" t="s">
        <v>679</v>
      </c>
      <c r="AO31" t="s">
        <v>680</v>
      </c>
      <c r="AP31" t="s">
        <v>74</v>
      </c>
      <c r="AQ31" t="s">
        <v>74</v>
      </c>
      <c r="AR31" t="s">
        <v>681</v>
      </c>
      <c r="AS31" t="s">
        <v>682</v>
      </c>
      <c r="AT31" t="s">
        <v>606</v>
      </c>
      <c r="AU31">
        <v>2008</v>
      </c>
      <c r="AV31">
        <v>197</v>
      </c>
      <c r="AW31">
        <v>2638</v>
      </c>
      <c r="AX31" t="s">
        <v>74</v>
      </c>
      <c r="AY31" t="s">
        <v>74</v>
      </c>
      <c r="AZ31" t="s">
        <v>74</v>
      </c>
      <c r="BA31" t="s">
        <v>74</v>
      </c>
      <c r="BB31">
        <v>16</v>
      </c>
      <c r="BC31">
        <v>17</v>
      </c>
      <c r="BD31" t="s">
        <v>74</v>
      </c>
      <c r="BE31" t="s">
        <v>683</v>
      </c>
      <c r="BF31" t="str">
        <f>HYPERLINK("http://dx.doi.org/10.1016/S0262-4079(08)60085-8","http://dx.doi.org/10.1016/S0262-4079(08)60085-8")</f>
        <v>http://dx.doi.org/10.1016/S0262-4079(08)60085-8</v>
      </c>
      <c r="BG31" t="s">
        <v>74</v>
      </c>
      <c r="BH31" t="s">
        <v>74</v>
      </c>
      <c r="BI31">
        <v>2</v>
      </c>
      <c r="BJ31" t="s">
        <v>684</v>
      </c>
      <c r="BK31" t="s">
        <v>97</v>
      </c>
      <c r="BL31" t="s">
        <v>685</v>
      </c>
      <c r="BM31" t="s">
        <v>686</v>
      </c>
      <c r="BN31" t="s">
        <v>74</v>
      </c>
      <c r="BO31" t="s">
        <v>74</v>
      </c>
      <c r="BP31" t="s">
        <v>74</v>
      </c>
      <c r="BQ31" t="s">
        <v>74</v>
      </c>
      <c r="BR31" t="s">
        <v>100</v>
      </c>
      <c r="BS31" t="s">
        <v>687</v>
      </c>
      <c r="BT31" t="str">
        <f>HYPERLINK("https%3A%2F%2Fwww.webofscience.com%2Fwos%2Fwoscc%2Ffull-record%2FWOS:000252282100013","View Full Record in Web of Science")</f>
        <v>View Full Record in Web of Science</v>
      </c>
    </row>
    <row r="32" spans="1:72" x14ac:dyDescent="0.15">
      <c r="A32" t="s">
        <v>72</v>
      </c>
      <c r="B32" t="s">
        <v>688</v>
      </c>
      <c r="C32" t="s">
        <v>74</v>
      </c>
      <c r="D32" t="s">
        <v>74</v>
      </c>
      <c r="E32" t="s">
        <v>74</v>
      </c>
      <c r="F32" t="s">
        <v>689</v>
      </c>
      <c r="G32" t="s">
        <v>74</v>
      </c>
      <c r="H32" t="s">
        <v>74</v>
      </c>
      <c r="I32" t="s">
        <v>690</v>
      </c>
      <c r="J32" t="s">
        <v>691</v>
      </c>
      <c r="K32" t="s">
        <v>74</v>
      </c>
      <c r="L32" t="s">
        <v>74</v>
      </c>
      <c r="M32" t="s">
        <v>78</v>
      </c>
      <c r="N32" t="s">
        <v>692</v>
      </c>
      <c r="O32" t="s">
        <v>74</v>
      </c>
      <c r="P32" t="s">
        <v>74</v>
      </c>
      <c r="Q32" t="s">
        <v>74</v>
      </c>
      <c r="R32" t="s">
        <v>74</v>
      </c>
      <c r="S32" t="s">
        <v>74</v>
      </c>
      <c r="T32" t="s">
        <v>74</v>
      </c>
      <c r="U32" t="s">
        <v>74</v>
      </c>
      <c r="V32" t="s">
        <v>693</v>
      </c>
      <c r="W32" t="s">
        <v>74</v>
      </c>
      <c r="X32" t="s">
        <v>74</v>
      </c>
      <c r="Y32" t="s">
        <v>74</v>
      </c>
      <c r="Z32" t="s">
        <v>74</v>
      </c>
      <c r="AA32" t="s">
        <v>74</v>
      </c>
      <c r="AB32" t="s">
        <v>74</v>
      </c>
      <c r="AC32" t="s">
        <v>74</v>
      </c>
      <c r="AD32" t="s">
        <v>74</v>
      </c>
      <c r="AE32" t="s">
        <v>74</v>
      </c>
      <c r="AF32" t="s">
        <v>74</v>
      </c>
      <c r="AG32">
        <v>0</v>
      </c>
      <c r="AH32">
        <v>1</v>
      </c>
      <c r="AI32">
        <v>1</v>
      </c>
      <c r="AJ32">
        <v>0</v>
      </c>
      <c r="AK32">
        <v>6</v>
      </c>
      <c r="AL32" t="s">
        <v>694</v>
      </c>
      <c r="AM32" t="s">
        <v>194</v>
      </c>
      <c r="AN32" t="s">
        <v>695</v>
      </c>
      <c r="AO32" t="s">
        <v>696</v>
      </c>
      <c r="AP32" t="s">
        <v>74</v>
      </c>
      <c r="AQ32" t="s">
        <v>74</v>
      </c>
      <c r="AR32" t="s">
        <v>691</v>
      </c>
      <c r="AS32" t="s">
        <v>697</v>
      </c>
      <c r="AT32" t="s">
        <v>698</v>
      </c>
      <c r="AU32">
        <v>2008</v>
      </c>
      <c r="AV32">
        <v>319</v>
      </c>
      <c r="AW32">
        <v>5860</v>
      </c>
      <c r="AX32" t="s">
        <v>74</v>
      </c>
      <c r="AY32" t="s">
        <v>74</v>
      </c>
      <c r="AZ32" t="s">
        <v>74</v>
      </c>
      <c r="BA32" t="s">
        <v>74</v>
      </c>
      <c r="BB32">
        <v>145</v>
      </c>
      <c r="BC32">
        <v>145</v>
      </c>
      <c r="BD32" t="s">
        <v>74</v>
      </c>
      <c r="BE32" t="s">
        <v>74</v>
      </c>
      <c r="BF32" t="s">
        <v>74</v>
      </c>
      <c r="BG32" t="s">
        <v>74</v>
      </c>
      <c r="BH32" t="s">
        <v>74</v>
      </c>
      <c r="BI32">
        <v>1</v>
      </c>
      <c r="BJ32" t="s">
        <v>684</v>
      </c>
      <c r="BK32" t="s">
        <v>97</v>
      </c>
      <c r="BL32" t="s">
        <v>685</v>
      </c>
      <c r="BM32" t="s">
        <v>699</v>
      </c>
      <c r="BN32">
        <v>18187628</v>
      </c>
      <c r="BO32" t="s">
        <v>74</v>
      </c>
      <c r="BP32" t="s">
        <v>74</v>
      </c>
      <c r="BQ32" t="s">
        <v>74</v>
      </c>
      <c r="BR32" t="s">
        <v>100</v>
      </c>
      <c r="BS32" t="s">
        <v>700</v>
      </c>
      <c r="BT32" t="str">
        <f>HYPERLINK("https%3A%2F%2Fwww.webofscience.com%2Fwos%2Fwoscc%2Ffull-record%2FWOS:000252246400005","View Full Record in Web of Science")</f>
        <v>View Full Record in Web of Science</v>
      </c>
    </row>
    <row r="33" spans="1:72" x14ac:dyDescent="0.15">
      <c r="A33" t="s">
        <v>72</v>
      </c>
      <c r="B33" t="s">
        <v>701</v>
      </c>
      <c r="C33" t="s">
        <v>74</v>
      </c>
      <c r="D33" t="s">
        <v>74</v>
      </c>
      <c r="E33" t="s">
        <v>74</v>
      </c>
      <c r="F33" t="s">
        <v>702</v>
      </c>
      <c r="G33" t="s">
        <v>74</v>
      </c>
      <c r="H33" t="s">
        <v>74</v>
      </c>
      <c r="I33" t="s">
        <v>703</v>
      </c>
      <c r="J33" t="s">
        <v>691</v>
      </c>
      <c r="K33" t="s">
        <v>74</v>
      </c>
      <c r="L33" t="s">
        <v>74</v>
      </c>
      <c r="M33" t="s">
        <v>78</v>
      </c>
      <c r="N33" t="s">
        <v>79</v>
      </c>
      <c r="O33" t="s">
        <v>74</v>
      </c>
      <c r="P33" t="s">
        <v>74</v>
      </c>
      <c r="Q33" t="s">
        <v>74</v>
      </c>
      <c r="R33" t="s">
        <v>74</v>
      </c>
      <c r="S33" t="s">
        <v>74</v>
      </c>
      <c r="T33" t="s">
        <v>74</v>
      </c>
      <c r="U33" t="s">
        <v>704</v>
      </c>
      <c r="V33" t="s">
        <v>705</v>
      </c>
      <c r="W33" t="s">
        <v>706</v>
      </c>
      <c r="X33" t="s">
        <v>707</v>
      </c>
      <c r="Y33" t="s">
        <v>708</v>
      </c>
      <c r="Z33" t="s">
        <v>709</v>
      </c>
      <c r="AA33" t="s">
        <v>710</v>
      </c>
      <c r="AB33" t="s">
        <v>711</v>
      </c>
      <c r="AC33" t="s">
        <v>74</v>
      </c>
      <c r="AD33" t="s">
        <v>74</v>
      </c>
      <c r="AE33" t="s">
        <v>74</v>
      </c>
      <c r="AF33" t="s">
        <v>74</v>
      </c>
      <c r="AG33">
        <v>30</v>
      </c>
      <c r="AH33">
        <v>214</v>
      </c>
      <c r="AI33">
        <v>244</v>
      </c>
      <c r="AJ33">
        <v>5</v>
      </c>
      <c r="AK33">
        <v>46</v>
      </c>
      <c r="AL33" t="s">
        <v>694</v>
      </c>
      <c r="AM33" t="s">
        <v>194</v>
      </c>
      <c r="AN33" t="s">
        <v>695</v>
      </c>
      <c r="AO33" t="s">
        <v>696</v>
      </c>
      <c r="AP33" t="s">
        <v>712</v>
      </c>
      <c r="AQ33" t="s">
        <v>74</v>
      </c>
      <c r="AR33" t="s">
        <v>691</v>
      </c>
      <c r="AS33" t="s">
        <v>697</v>
      </c>
      <c r="AT33" t="s">
        <v>698</v>
      </c>
      <c r="AU33">
        <v>2008</v>
      </c>
      <c r="AV33">
        <v>319</v>
      </c>
      <c r="AW33">
        <v>5860</v>
      </c>
      <c r="AX33" t="s">
        <v>74</v>
      </c>
      <c r="AY33" t="s">
        <v>74</v>
      </c>
      <c r="AZ33" t="s">
        <v>74</v>
      </c>
      <c r="BA33" t="s">
        <v>74</v>
      </c>
      <c r="BB33">
        <v>189</v>
      </c>
      <c r="BC33">
        <v>192</v>
      </c>
      <c r="BD33" t="s">
        <v>74</v>
      </c>
      <c r="BE33" t="s">
        <v>713</v>
      </c>
      <c r="BF33" t="str">
        <f>HYPERLINK("http://dx.doi.org/10.1126/science.1148777","http://dx.doi.org/10.1126/science.1148777")</f>
        <v>http://dx.doi.org/10.1126/science.1148777</v>
      </c>
      <c r="BG33" t="s">
        <v>74</v>
      </c>
      <c r="BH33" t="s">
        <v>74</v>
      </c>
      <c r="BI33">
        <v>4</v>
      </c>
      <c r="BJ33" t="s">
        <v>684</v>
      </c>
      <c r="BK33" t="s">
        <v>97</v>
      </c>
      <c r="BL33" t="s">
        <v>685</v>
      </c>
      <c r="BM33" t="s">
        <v>699</v>
      </c>
      <c r="BN33">
        <v>18187651</v>
      </c>
      <c r="BO33" t="s">
        <v>74</v>
      </c>
      <c r="BP33" t="s">
        <v>74</v>
      </c>
      <c r="BQ33" t="s">
        <v>74</v>
      </c>
      <c r="BR33" t="s">
        <v>100</v>
      </c>
      <c r="BS33" t="s">
        <v>714</v>
      </c>
      <c r="BT33" t="str">
        <f>HYPERLINK("https%3A%2F%2Fwww.webofscience.com%2Fwos%2Fwoscc%2Ffull-record%2FWOS:000252246400037","View Full Record in Web of Science")</f>
        <v>View Full Record in Web of Science</v>
      </c>
    </row>
    <row r="34" spans="1:72" x14ac:dyDescent="0.15">
      <c r="A34" t="s">
        <v>72</v>
      </c>
      <c r="B34" t="s">
        <v>715</v>
      </c>
      <c r="C34" t="s">
        <v>74</v>
      </c>
      <c r="D34" t="s">
        <v>74</v>
      </c>
      <c r="E34" t="s">
        <v>74</v>
      </c>
      <c r="F34" t="s">
        <v>716</v>
      </c>
      <c r="G34" t="s">
        <v>74</v>
      </c>
      <c r="H34" t="s">
        <v>74</v>
      </c>
      <c r="I34" t="s">
        <v>717</v>
      </c>
      <c r="J34" t="s">
        <v>691</v>
      </c>
      <c r="K34" t="s">
        <v>74</v>
      </c>
      <c r="L34" t="s">
        <v>74</v>
      </c>
      <c r="M34" t="s">
        <v>78</v>
      </c>
      <c r="N34" t="s">
        <v>438</v>
      </c>
      <c r="O34" t="s">
        <v>74</v>
      </c>
      <c r="P34" t="s">
        <v>74</v>
      </c>
      <c r="Q34" t="s">
        <v>74</v>
      </c>
      <c r="R34" t="s">
        <v>74</v>
      </c>
      <c r="S34" t="s">
        <v>74</v>
      </c>
      <c r="T34" t="s">
        <v>74</v>
      </c>
      <c r="U34" t="s">
        <v>718</v>
      </c>
      <c r="V34" t="s">
        <v>74</v>
      </c>
      <c r="W34" t="s">
        <v>719</v>
      </c>
      <c r="X34" t="s">
        <v>720</v>
      </c>
      <c r="Y34" t="s">
        <v>721</v>
      </c>
      <c r="Z34" t="s">
        <v>722</v>
      </c>
      <c r="AA34" t="s">
        <v>723</v>
      </c>
      <c r="AB34" t="s">
        <v>724</v>
      </c>
      <c r="AC34" t="s">
        <v>74</v>
      </c>
      <c r="AD34" t="s">
        <v>74</v>
      </c>
      <c r="AE34" t="s">
        <v>74</v>
      </c>
      <c r="AF34" t="s">
        <v>74</v>
      </c>
      <c r="AG34">
        <v>29</v>
      </c>
      <c r="AH34">
        <v>8</v>
      </c>
      <c r="AI34">
        <v>9</v>
      </c>
      <c r="AJ34">
        <v>0</v>
      </c>
      <c r="AK34">
        <v>15</v>
      </c>
      <c r="AL34" t="s">
        <v>694</v>
      </c>
      <c r="AM34" t="s">
        <v>194</v>
      </c>
      <c r="AN34" t="s">
        <v>695</v>
      </c>
      <c r="AO34" t="s">
        <v>696</v>
      </c>
      <c r="AP34" t="s">
        <v>712</v>
      </c>
      <c r="AQ34" t="s">
        <v>74</v>
      </c>
      <c r="AR34" t="s">
        <v>691</v>
      </c>
      <c r="AS34" t="s">
        <v>697</v>
      </c>
      <c r="AT34" t="s">
        <v>698</v>
      </c>
      <c r="AU34">
        <v>2008</v>
      </c>
      <c r="AV34">
        <v>319</v>
      </c>
      <c r="AW34">
        <v>5860</v>
      </c>
      <c r="AX34" t="s">
        <v>74</v>
      </c>
      <c r="AY34" t="s">
        <v>74</v>
      </c>
      <c r="AZ34" t="s">
        <v>74</v>
      </c>
      <c r="BA34" t="s">
        <v>74</v>
      </c>
      <c r="BB34" t="s">
        <v>74</v>
      </c>
      <c r="BC34" t="s">
        <v>74</v>
      </c>
      <c r="BD34" t="s">
        <v>74</v>
      </c>
      <c r="BE34" t="s">
        <v>725</v>
      </c>
      <c r="BF34" t="str">
        <f>HYPERLINK("http://dx.doi.org/10.1126/science.1150011","http://dx.doi.org/10.1126/science.1150011")</f>
        <v>http://dx.doi.org/10.1126/science.1150011</v>
      </c>
      <c r="BG34" t="s">
        <v>74</v>
      </c>
      <c r="BH34" t="s">
        <v>74</v>
      </c>
      <c r="BI34">
        <v>2</v>
      </c>
      <c r="BJ34" t="s">
        <v>684</v>
      </c>
      <c r="BK34" t="s">
        <v>97</v>
      </c>
      <c r="BL34" t="s">
        <v>685</v>
      </c>
      <c r="BM34" t="s">
        <v>699</v>
      </c>
      <c r="BN34" t="s">
        <v>74</v>
      </c>
      <c r="BO34" t="s">
        <v>74</v>
      </c>
      <c r="BP34" t="s">
        <v>74</v>
      </c>
      <c r="BQ34" t="s">
        <v>74</v>
      </c>
      <c r="BR34" t="s">
        <v>100</v>
      </c>
      <c r="BS34" t="s">
        <v>726</v>
      </c>
      <c r="BT34" t="str">
        <f>HYPERLINK("https%3A%2F%2Fwww.webofscience.com%2Fwos%2Fwoscc%2Ffull-record%2FWOS:000252246400021","View Full Record in Web of Science")</f>
        <v>View Full Record in Web of Science</v>
      </c>
    </row>
    <row r="35" spans="1:72" x14ac:dyDescent="0.15">
      <c r="A35" t="s">
        <v>72</v>
      </c>
      <c r="B35" t="s">
        <v>727</v>
      </c>
      <c r="C35" t="s">
        <v>74</v>
      </c>
      <c r="D35" t="s">
        <v>74</v>
      </c>
      <c r="E35" t="s">
        <v>74</v>
      </c>
      <c r="F35" t="s">
        <v>728</v>
      </c>
      <c r="G35" t="s">
        <v>74</v>
      </c>
      <c r="H35" t="s">
        <v>74</v>
      </c>
      <c r="I35" t="s">
        <v>729</v>
      </c>
      <c r="J35" t="s">
        <v>730</v>
      </c>
      <c r="K35" t="s">
        <v>74</v>
      </c>
      <c r="L35" t="s">
        <v>74</v>
      </c>
      <c r="M35" t="s">
        <v>78</v>
      </c>
      <c r="N35" t="s">
        <v>106</v>
      </c>
      <c r="O35" t="s">
        <v>74</v>
      </c>
      <c r="P35" t="s">
        <v>74</v>
      </c>
      <c r="Q35" t="s">
        <v>74</v>
      </c>
      <c r="R35" t="s">
        <v>74</v>
      </c>
      <c r="S35" t="s">
        <v>74</v>
      </c>
      <c r="T35" t="s">
        <v>74</v>
      </c>
      <c r="U35" t="s">
        <v>731</v>
      </c>
      <c r="V35" t="s">
        <v>732</v>
      </c>
      <c r="W35" t="s">
        <v>733</v>
      </c>
      <c r="X35" t="s">
        <v>734</v>
      </c>
      <c r="Y35" t="s">
        <v>735</v>
      </c>
      <c r="Z35" t="s">
        <v>736</v>
      </c>
      <c r="AA35" t="s">
        <v>737</v>
      </c>
      <c r="AB35" t="s">
        <v>738</v>
      </c>
      <c r="AC35" t="s">
        <v>74</v>
      </c>
      <c r="AD35" t="s">
        <v>74</v>
      </c>
      <c r="AE35" t="s">
        <v>74</v>
      </c>
      <c r="AF35" t="s">
        <v>74</v>
      </c>
      <c r="AG35">
        <v>52</v>
      </c>
      <c r="AH35">
        <v>4</v>
      </c>
      <c r="AI35">
        <v>4</v>
      </c>
      <c r="AJ35">
        <v>0</v>
      </c>
      <c r="AK35">
        <v>4</v>
      </c>
      <c r="AL35" t="s">
        <v>193</v>
      </c>
      <c r="AM35" t="s">
        <v>194</v>
      </c>
      <c r="AN35" t="s">
        <v>195</v>
      </c>
      <c r="AO35" t="s">
        <v>739</v>
      </c>
      <c r="AP35" t="s">
        <v>740</v>
      </c>
      <c r="AQ35" t="s">
        <v>74</v>
      </c>
      <c r="AR35" t="s">
        <v>741</v>
      </c>
      <c r="AS35" t="s">
        <v>742</v>
      </c>
      <c r="AT35" t="s">
        <v>743</v>
      </c>
      <c r="AU35">
        <v>2008</v>
      </c>
      <c r="AV35">
        <v>113</v>
      </c>
      <c r="AW35" t="s">
        <v>744</v>
      </c>
      <c r="AX35" t="s">
        <v>74</v>
      </c>
      <c r="AY35" t="s">
        <v>74</v>
      </c>
      <c r="AZ35" t="s">
        <v>74</v>
      </c>
      <c r="BA35" t="s">
        <v>74</v>
      </c>
      <c r="BB35" t="s">
        <v>74</v>
      </c>
      <c r="BC35" t="s">
        <v>74</v>
      </c>
      <c r="BD35" t="s">
        <v>745</v>
      </c>
      <c r="BE35" t="s">
        <v>746</v>
      </c>
      <c r="BF35" t="str">
        <f>HYPERLINK("http://dx.doi.org/10.1029/2007JB005001","http://dx.doi.org/10.1029/2007JB005001")</f>
        <v>http://dx.doi.org/10.1029/2007JB005001</v>
      </c>
      <c r="BG35" t="s">
        <v>74</v>
      </c>
      <c r="BH35" t="s">
        <v>74</v>
      </c>
      <c r="BI35">
        <v>23</v>
      </c>
      <c r="BJ35" t="s">
        <v>553</v>
      </c>
      <c r="BK35" t="s">
        <v>97</v>
      </c>
      <c r="BL35" t="s">
        <v>553</v>
      </c>
      <c r="BM35" t="s">
        <v>747</v>
      </c>
      <c r="BN35" t="s">
        <v>74</v>
      </c>
      <c r="BO35" t="s">
        <v>313</v>
      </c>
      <c r="BP35" t="s">
        <v>74</v>
      </c>
      <c r="BQ35" t="s">
        <v>74</v>
      </c>
      <c r="BR35" t="s">
        <v>100</v>
      </c>
      <c r="BS35" t="s">
        <v>748</v>
      </c>
      <c r="BT35" t="str">
        <f>HYPERLINK("https%3A%2F%2Fwww.webofscience.com%2Fwos%2Fwoscc%2Ffull-record%2FWOS:000252183900001","View Full Record in Web of Science")</f>
        <v>View Full Record in Web of Science</v>
      </c>
    </row>
    <row r="36" spans="1:72" x14ac:dyDescent="0.15">
      <c r="A36" t="s">
        <v>72</v>
      </c>
      <c r="B36" t="s">
        <v>749</v>
      </c>
      <c r="C36" t="s">
        <v>74</v>
      </c>
      <c r="D36" t="s">
        <v>74</v>
      </c>
      <c r="E36" t="s">
        <v>74</v>
      </c>
      <c r="F36" t="s">
        <v>750</v>
      </c>
      <c r="G36" t="s">
        <v>74</v>
      </c>
      <c r="H36" t="s">
        <v>74</v>
      </c>
      <c r="I36" t="s">
        <v>751</v>
      </c>
      <c r="J36" t="s">
        <v>752</v>
      </c>
      <c r="K36" t="s">
        <v>74</v>
      </c>
      <c r="L36" t="s">
        <v>74</v>
      </c>
      <c r="M36" t="s">
        <v>78</v>
      </c>
      <c r="N36" t="s">
        <v>106</v>
      </c>
      <c r="O36" t="s">
        <v>74</v>
      </c>
      <c r="P36" t="s">
        <v>74</v>
      </c>
      <c r="Q36" t="s">
        <v>74</v>
      </c>
      <c r="R36" t="s">
        <v>74</v>
      </c>
      <c r="S36" t="s">
        <v>74</v>
      </c>
      <c r="T36" t="s">
        <v>753</v>
      </c>
      <c r="U36" t="s">
        <v>754</v>
      </c>
      <c r="V36" t="s">
        <v>755</v>
      </c>
      <c r="W36" t="s">
        <v>756</v>
      </c>
      <c r="X36" t="s">
        <v>757</v>
      </c>
      <c r="Y36" t="s">
        <v>758</v>
      </c>
      <c r="Z36" t="s">
        <v>759</v>
      </c>
      <c r="AA36" t="s">
        <v>760</v>
      </c>
      <c r="AB36" t="s">
        <v>761</v>
      </c>
      <c r="AC36" t="s">
        <v>762</v>
      </c>
      <c r="AD36" t="s">
        <v>242</v>
      </c>
      <c r="AE36" t="s">
        <v>74</v>
      </c>
      <c r="AF36" t="s">
        <v>74</v>
      </c>
      <c r="AG36">
        <v>155</v>
      </c>
      <c r="AH36">
        <v>235</v>
      </c>
      <c r="AI36">
        <v>259</v>
      </c>
      <c r="AJ36">
        <v>1</v>
      </c>
      <c r="AK36">
        <v>24</v>
      </c>
      <c r="AL36" t="s">
        <v>265</v>
      </c>
      <c r="AM36" t="s">
        <v>266</v>
      </c>
      <c r="AN36" t="s">
        <v>267</v>
      </c>
      <c r="AO36" t="s">
        <v>763</v>
      </c>
      <c r="AP36" t="s">
        <v>764</v>
      </c>
      <c r="AQ36" t="s">
        <v>74</v>
      </c>
      <c r="AR36" t="s">
        <v>765</v>
      </c>
      <c r="AS36" t="s">
        <v>766</v>
      </c>
      <c r="AT36" t="s">
        <v>743</v>
      </c>
      <c r="AU36">
        <v>2008</v>
      </c>
      <c r="AV36">
        <v>160</v>
      </c>
      <c r="AW36" t="s">
        <v>551</v>
      </c>
      <c r="AX36" t="s">
        <v>74</v>
      </c>
      <c r="AY36" t="s">
        <v>74</v>
      </c>
      <c r="AZ36" t="s">
        <v>74</v>
      </c>
      <c r="BA36" t="s">
        <v>74</v>
      </c>
      <c r="BB36">
        <v>142</v>
      </c>
      <c r="BC36">
        <v>158</v>
      </c>
      <c r="BD36" t="s">
        <v>74</v>
      </c>
      <c r="BE36" t="s">
        <v>767</v>
      </c>
      <c r="BF36" t="str">
        <f>HYPERLINK("http://dx.doi.org/10.1016/j.precamres.2007.04.022","http://dx.doi.org/10.1016/j.precamres.2007.04.022")</f>
        <v>http://dx.doi.org/10.1016/j.precamres.2007.04.022</v>
      </c>
      <c r="BG36" t="s">
        <v>74</v>
      </c>
      <c r="BH36" t="s">
        <v>74</v>
      </c>
      <c r="BI36">
        <v>17</v>
      </c>
      <c r="BJ36" t="s">
        <v>96</v>
      </c>
      <c r="BK36" t="s">
        <v>97</v>
      </c>
      <c r="BL36" t="s">
        <v>98</v>
      </c>
      <c r="BM36" t="s">
        <v>768</v>
      </c>
      <c r="BN36" t="s">
        <v>74</v>
      </c>
      <c r="BO36" t="s">
        <v>250</v>
      </c>
      <c r="BP36" t="s">
        <v>74</v>
      </c>
      <c r="BQ36" t="s">
        <v>74</v>
      </c>
      <c r="BR36" t="s">
        <v>100</v>
      </c>
      <c r="BS36" t="s">
        <v>769</v>
      </c>
      <c r="BT36" t="str">
        <f>HYPERLINK("https%3A%2F%2Fwww.webofscience.com%2Fwos%2Fwoscc%2Ffull-record%2FWOS:000253517900010","View Full Record in Web of Science")</f>
        <v>View Full Record in Web of Science</v>
      </c>
    </row>
    <row r="37" spans="1:72" x14ac:dyDescent="0.15">
      <c r="A37" t="s">
        <v>72</v>
      </c>
      <c r="B37" t="s">
        <v>770</v>
      </c>
      <c r="C37" t="s">
        <v>74</v>
      </c>
      <c r="D37" t="s">
        <v>74</v>
      </c>
      <c r="E37" t="s">
        <v>74</v>
      </c>
      <c r="F37" t="s">
        <v>771</v>
      </c>
      <c r="G37" t="s">
        <v>74</v>
      </c>
      <c r="H37" t="s">
        <v>74</v>
      </c>
      <c r="I37" t="s">
        <v>772</v>
      </c>
      <c r="J37" t="s">
        <v>773</v>
      </c>
      <c r="K37" t="s">
        <v>74</v>
      </c>
      <c r="L37" t="s">
        <v>74</v>
      </c>
      <c r="M37" t="s">
        <v>78</v>
      </c>
      <c r="N37" t="s">
        <v>79</v>
      </c>
      <c r="O37" t="s">
        <v>74</v>
      </c>
      <c r="P37" t="s">
        <v>74</v>
      </c>
      <c r="Q37" t="s">
        <v>74</v>
      </c>
      <c r="R37" t="s">
        <v>74</v>
      </c>
      <c r="S37" t="s">
        <v>74</v>
      </c>
      <c r="T37" t="s">
        <v>774</v>
      </c>
      <c r="U37" t="s">
        <v>775</v>
      </c>
      <c r="V37" t="s">
        <v>776</v>
      </c>
      <c r="W37" t="s">
        <v>777</v>
      </c>
      <c r="X37" t="s">
        <v>778</v>
      </c>
      <c r="Y37" t="s">
        <v>779</v>
      </c>
      <c r="Z37" t="s">
        <v>780</v>
      </c>
      <c r="AA37" t="s">
        <v>781</v>
      </c>
      <c r="AB37" t="s">
        <v>782</v>
      </c>
      <c r="AC37" t="s">
        <v>74</v>
      </c>
      <c r="AD37" t="s">
        <v>74</v>
      </c>
      <c r="AE37" t="s">
        <v>74</v>
      </c>
      <c r="AF37" t="s">
        <v>74</v>
      </c>
      <c r="AG37">
        <v>46</v>
      </c>
      <c r="AH37">
        <v>9</v>
      </c>
      <c r="AI37">
        <v>10</v>
      </c>
      <c r="AJ37">
        <v>0</v>
      </c>
      <c r="AK37">
        <v>7</v>
      </c>
      <c r="AL37" t="s">
        <v>265</v>
      </c>
      <c r="AM37" t="s">
        <v>266</v>
      </c>
      <c r="AN37" t="s">
        <v>267</v>
      </c>
      <c r="AO37" t="s">
        <v>783</v>
      </c>
      <c r="AP37" t="s">
        <v>784</v>
      </c>
      <c r="AQ37" t="s">
        <v>74</v>
      </c>
      <c r="AR37" t="s">
        <v>785</v>
      </c>
      <c r="AS37" t="s">
        <v>786</v>
      </c>
      <c r="AT37" t="s">
        <v>787</v>
      </c>
      <c r="AU37">
        <v>2008</v>
      </c>
      <c r="AV37">
        <v>354</v>
      </c>
      <c r="AW37">
        <v>1</v>
      </c>
      <c r="AX37" t="s">
        <v>74</v>
      </c>
      <c r="AY37" t="s">
        <v>74</v>
      </c>
      <c r="AZ37" t="s">
        <v>74</v>
      </c>
      <c r="BA37" t="s">
        <v>74</v>
      </c>
      <c r="BB37">
        <v>9</v>
      </c>
      <c r="BC37">
        <v>16</v>
      </c>
      <c r="BD37" t="s">
        <v>74</v>
      </c>
      <c r="BE37" t="s">
        <v>788</v>
      </c>
      <c r="BF37" t="str">
        <f>HYPERLINK("http://dx.doi.org/10.1016/j.jembe.2007.09.015","http://dx.doi.org/10.1016/j.jembe.2007.09.015")</f>
        <v>http://dx.doi.org/10.1016/j.jembe.2007.09.015</v>
      </c>
      <c r="BG37" t="s">
        <v>74</v>
      </c>
      <c r="BH37" t="s">
        <v>74</v>
      </c>
      <c r="BI37">
        <v>8</v>
      </c>
      <c r="BJ37" t="s">
        <v>789</v>
      </c>
      <c r="BK37" t="s">
        <v>97</v>
      </c>
      <c r="BL37" t="s">
        <v>790</v>
      </c>
      <c r="BM37" t="s">
        <v>791</v>
      </c>
      <c r="BN37" t="s">
        <v>74</v>
      </c>
      <c r="BO37" t="s">
        <v>74</v>
      </c>
      <c r="BP37" t="s">
        <v>74</v>
      </c>
      <c r="BQ37" t="s">
        <v>74</v>
      </c>
      <c r="BR37" t="s">
        <v>100</v>
      </c>
      <c r="BS37" t="s">
        <v>792</v>
      </c>
      <c r="BT37" t="str">
        <f>HYPERLINK("https%3A%2F%2Fwww.webofscience.com%2Fwos%2Fwoscc%2Ffull-record%2FWOS:000252599600002","View Full Record in Web of Science")</f>
        <v>View Full Record in Web of Science</v>
      </c>
    </row>
    <row r="38" spans="1:72" x14ac:dyDescent="0.15">
      <c r="A38" t="s">
        <v>72</v>
      </c>
      <c r="B38" t="s">
        <v>793</v>
      </c>
      <c r="C38" t="s">
        <v>74</v>
      </c>
      <c r="D38" t="s">
        <v>74</v>
      </c>
      <c r="E38" t="s">
        <v>74</v>
      </c>
      <c r="F38" t="s">
        <v>794</v>
      </c>
      <c r="G38" t="s">
        <v>74</v>
      </c>
      <c r="H38" t="s">
        <v>795</v>
      </c>
      <c r="I38" t="s">
        <v>796</v>
      </c>
      <c r="J38" t="s">
        <v>797</v>
      </c>
      <c r="K38" t="s">
        <v>74</v>
      </c>
      <c r="L38" t="s">
        <v>74</v>
      </c>
      <c r="M38" t="s">
        <v>78</v>
      </c>
      <c r="N38" t="s">
        <v>79</v>
      </c>
      <c r="O38" t="s">
        <v>74</v>
      </c>
      <c r="P38" t="s">
        <v>74</v>
      </c>
      <c r="Q38" t="s">
        <v>74</v>
      </c>
      <c r="R38" t="s">
        <v>74</v>
      </c>
      <c r="S38" t="s">
        <v>74</v>
      </c>
      <c r="T38" t="s">
        <v>74</v>
      </c>
      <c r="U38" t="s">
        <v>74</v>
      </c>
      <c r="V38" t="s">
        <v>798</v>
      </c>
      <c r="W38" t="s">
        <v>799</v>
      </c>
      <c r="X38" t="s">
        <v>800</v>
      </c>
      <c r="Y38" t="s">
        <v>801</v>
      </c>
      <c r="Z38" t="s">
        <v>802</v>
      </c>
      <c r="AA38" t="s">
        <v>74</v>
      </c>
      <c r="AB38" t="s">
        <v>74</v>
      </c>
      <c r="AC38" t="s">
        <v>74</v>
      </c>
      <c r="AD38" t="s">
        <v>74</v>
      </c>
      <c r="AE38" t="s">
        <v>74</v>
      </c>
      <c r="AF38" t="s">
        <v>74</v>
      </c>
      <c r="AG38">
        <v>17</v>
      </c>
      <c r="AH38">
        <v>0</v>
      </c>
      <c r="AI38">
        <v>0</v>
      </c>
      <c r="AJ38">
        <v>0</v>
      </c>
      <c r="AK38">
        <v>0</v>
      </c>
      <c r="AL38" t="s">
        <v>803</v>
      </c>
      <c r="AM38" t="s">
        <v>804</v>
      </c>
      <c r="AN38" t="s">
        <v>805</v>
      </c>
      <c r="AO38" t="s">
        <v>806</v>
      </c>
      <c r="AP38" t="s">
        <v>74</v>
      </c>
      <c r="AQ38" t="s">
        <v>74</v>
      </c>
      <c r="AR38" t="s">
        <v>807</v>
      </c>
      <c r="AS38" t="s">
        <v>808</v>
      </c>
      <c r="AT38" t="s">
        <v>809</v>
      </c>
      <c r="AU38">
        <v>2008</v>
      </c>
      <c r="AV38">
        <v>77</v>
      </c>
      <c r="AW38" t="s">
        <v>74</v>
      </c>
      <c r="AX38" t="s">
        <v>74</v>
      </c>
      <c r="AY38" t="s">
        <v>810</v>
      </c>
      <c r="AZ38" t="s">
        <v>74</v>
      </c>
      <c r="BA38" t="s">
        <v>74</v>
      </c>
      <c r="BB38">
        <v>79</v>
      </c>
      <c r="BC38">
        <v>82</v>
      </c>
      <c r="BD38" t="s">
        <v>74</v>
      </c>
      <c r="BE38" t="s">
        <v>811</v>
      </c>
      <c r="BF38" t="str">
        <f>HYPERLINK("http://dx.doi.org/10.1143/JPSJS.77SB.79","http://dx.doi.org/10.1143/JPSJS.77SB.79")</f>
        <v>http://dx.doi.org/10.1143/JPSJS.77SB.79</v>
      </c>
      <c r="BG38" t="s">
        <v>74</v>
      </c>
      <c r="BH38" t="s">
        <v>74</v>
      </c>
      <c r="BI38">
        <v>4</v>
      </c>
      <c r="BJ38" t="s">
        <v>812</v>
      </c>
      <c r="BK38" t="s">
        <v>97</v>
      </c>
      <c r="BL38" t="s">
        <v>813</v>
      </c>
      <c r="BM38" t="s">
        <v>814</v>
      </c>
      <c r="BN38" t="s">
        <v>74</v>
      </c>
      <c r="BO38" t="s">
        <v>179</v>
      </c>
      <c r="BP38" t="s">
        <v>74</v>
      </c>
      <c r="BQ38" t="s">
        <v>74</v>
      </c>
      <c r="BR38" t="s">
        <v>100</v>
      </c>
      <c r="BS38" t="s">
        <v>815</v>
      </c>
      <c r="BT38" t="str">
        <f>HYPERLINK("https%3A%2F%2Fwww.webofscience.com%2Fwos%2Fwoscc%2Ffull-record%2FWOS:000701397700019","View Full Record in Web of Science")</f>
        <v>View Full Record in Web of Science</v>
      </c>
    </row>
    <row r="39" spans="1:72" x14ac:dyDescent="0.15">
      <c r="A39" t="s">
        <v>816</v>
      </c>
      <c r="B39" t="s">
        <v>817</v>
      </c>
      <c r="C39" t="s">
        <v>74</v>
      </c>
      <c r="D39" t="s">
        <v>818</v>
      </c>
      <c r="E39" t="s">
        <v>74</v>
      </c>
      <c r="F39" t="s">
        <v>819</v>
      </c>
      <c r="G39" t="s">
        <v>74</v>
      </c>
      <c r="H39" t="s">
        <v>74</v>
      </c>
      <c r="I39" t="s">
        <v>820</v>
      </c>
      <c r="J39" t="s">
        <v>821</v>
      </c>
      <c r="K39" t="s">
        <v>822</v>
      </c>
      <c r="L39" t="s">
        <v>74</v>
      </c>
      <c r="M39" t="s">
        <v>78</v>
      </c>
      <c r="N39" t="s">
        <v>823</v>
      </c>
      <c r="O39" t="s">
        <v>824</v>
      </c>
      <c r="P39" t="s">
        <v>825</v>
      </c>
      <c r="Q39" t="s">
        <v>826</v>
      </c>
      <c r="R39" t="s">
        <v>74</v>
      </c>
      <c r="S39" t="s">
        <v>827</v>
      </c>
      <c r="T39" t="s">
        <v>74</v>
      </c>
      <c r="U39" t="s">
        <v>74</v>
      </c>
      <c r="V39" t="s">
        <v>828</v>
      </c>
      <c r="W39" t="s">
        <v>829</v>
      </c>
      <c r="X39" t="s">
        <v>830</v>
      </c>
      <c r="Y39" t="s">
        <v>831</v>
      </c>
      <c r="Z39" t="s">
        <v>74</v>
      </c>
      <c r="AA39" t="s">
        <v>832</v>
      </c>
      <c r="AB39" t="s">
        <v>833</v>
      </c>
      <c r="AC39" t="s">
        <v>74</v>
      </c>
      <c r="AD39" t="s">
        <v>74</v>
      </c>
      <c r="AE39" t="s">
        <v>74</v>
      </c>
      <c r="AF39" t="s">
        <v>74</v>
      </c>
      <c r="AG39">
        <v>5</v>
      </c>
      <c r="AH39">
        <v>0</v>
      </c>
      <c r="AI39">
        <v>0</v>
      </c>
      <c r="AJ39">
        <v>0</v>
      </c>
      <c r="AK39">
        <v>0</v>
      </c>
      <c r="AL39" t="s">
        <v>834</v>
      </c>
      <c r="AM39" t="s">
        <v>835</v>
      </c>
      <c r="AN39" t="s">
        <v>836</v>
      </c>
      <c r="AO39" t="s">
        <v>837</v>
      </c>
      <c r="AP39" t="s">
        <v>74</v>
      </c>
      <c r="AQ39" t="s">
        <v>74</v>
      </c>
      <c r="AR39" t="s">
        <v>838</v>
      </c>
      <c r="AS39" t="s">
        <v>74</v>
      </c>
      <c r="AT39" t="s">
        <v>74</v>
      </c>
      <c r="AU39">
        <v>2008</v>
      </c>
      <c r="AV39">
        <v>1</v>
      </c>
      <c r="AW39" t="s">
        <v>74</v>
      </c>
      <c r="AX39" t="s">
        <v>74</v>
      </c>
      <c r="AY39" t="s">
        <v>74</v>
      </c>
      <c r="AZ39" t="s">
        <v>74</v>
      </c>
      <c r="BA39" t="s">
        <v>74</v>
      </c>
      <c r="BB39" t="s">
        <v>839</v>
      </c>
      <c r="BC39" t="s">
        <v>840</v>
      </c>
      <c r="BD39" t="s">
        <v>74</v>
      </c>
      <c r="BE39" t="s">
        <v>74</v>
      </c>
      <c r="BF39" t="s">
        <v>74</v>
      </c>
      <c r="BG39" t="s">
        <v>74</v>
      </c>
      <c r="BH39" t="s">
        <v>74</v>
      </c>
      <c r="BI39">
        <v>4</v>
      </c>
      <c r="BJ39" t="s">
        <v>841</v>
      </c>
      <c r="BK39" t="s">
        <v>842</v>
      </c>
      <c r="BL39" t="s">
        <v>841</v>
      </c>
      <c r="BM39" t="s">
        <v>843</v>
      </c>
      <c r="BN39" t="s">
        <v>74</v>
      </c>
      <c r="BO39" t="s">
        <v>74</v>
      </c>
      <c r="BP39" t="s">
        <v>74</v>
      </c>
      <c r="BQ39" t="s">
        <v>74</v>
      </c>
      <c r="BR39" t="s">
        <v>100</v>
      </c>
      <c r="BS39" t="s">
        <v>844</v>
      </c>
      <c r="BT39" t="str">
        <f>HYPERLINK("https%3A%2F%2Fwww.webofscience.com%2Fwos%2Fwoscc%2Ffull-record%2FWOS:000256952700035","View Full Record in Web of Science")</f>
        <v>View Full Record in Web of Science</v>
      </c>
    </row>
    <row r="40" spans="1:72" x14ac:dyDescent="0.15">
      <c r="A40" t="s">
        <v>816</v>
      </c>
      <c r="B40" t="s">
        <v>845</v>
      </c>
      <c r="C40" t="s">
        <v>74</v>
      </c>
      <c r="D40" t="s">
        <v>74</v>
      </c>
      <c r="E40" t="s">
        <v>846</v>
      </c>
      <c r="F40" t="s">
        <v>847</v>
      </c>
      <c r="G40" t="s">
        <v>74</v>
      </c>
      <c r="H40" t="s">
        <v>74</v>
      </c>
      <c r="I40" t="s">
        <v>848</v>
      </c>
      <c r="J40" t="s">
        <v>849</v>
      </c>
      <c r="K40" t="s">
        <v>850</v>
      </c>
      <c r="L40" t="s">
        <v>74</v>
      </c>
      <c r="M40" t="s">
        <v>78</v>
      </c>
      <c r="N40" t="s">
        <v>823</v>
      </c>
      <c r="O40" t="s">
        <v>851</v>
      </c>
      <c r="P40" t="s">
        <v>852</v>
      </c>
      <c r="Q40" t="s">
        <v>853</v>
      </c>
      <c r="R40" t="s">
        <v>74</v>
      </c>
      <c r="S40" t="s">
        <v>74</v>
      </c>
      <c r="T40" t="s">
        <v>854</v>
      </c>
      <c r="U40" t="s">
        <v>74</v>
      </c>
      <c r="V40" t="s">
        <v>855</v>
      </c>
      <c r="W40" t="s">
        <v>856</v>
      </c>
      <c r="X40" t="s">
        <v>857</v>
      </c>
      <c r="Y40" t="s">
        <v>858</v>
      </c>
      <c r="Z40" t="s">
        <v>859</v>
      </c>
      <c r="AA40" t="s">
        <v>860</v>
      </c>
      <c r="AB40" t="s">
        <v>861</v>
      </c>
      <c r="AC40" t="s">
        <v>74</v>
      </c>
      <c r="AD40" t="s">
        <v>74</v>
      </c>
      <c r="AE40" t="s">
        <v>74</v>
      </c>
      <c r="AF40" t="s">
        <v>74</v>
      </c>
      <c r="AG40">
        <v>7</v>
      </c>
      <c r="AH40">
        <v>0</v>
      </c>
      <c r="AI40">
        <v>0</v>
      </c>
      <c r="AJ40">
        <v>0</v>
      </c>
      <c r="AK40">
        <v>1</v>
      </c>
      <c r="AL40" t="s">
        <v>846</v>
      </c>
      <c r="AM40" t="s">
        <v>662</v>
      </c>
      <c r="AN40" t="s">
        <v>862</v>
      </c>
      <c r="AO40" t="s">
        <v>74</v>
      </c>
      <c r="AP40" t="s">
        <v>74</v>
      </c>
      <c r="AQ40" t="s">
        <v>863</v>
      </c>
      <c r="AR40" t="s">
        <v>864</v>
      </c>
      <c r="AS40" t="s">
        <v>74</v>
      </c>
      <c r="AT40" t="s">
        <v>74</v>
      </c>
      <c r="AU40">
        <v>2008</v>
      </c>
      <c r="AV40" t="s">
        <v>74</v>
      </c>
      <c r="AW40" t="s">
        <v>74</v>
      </c>
      <c r="AX40" t="s">
        <v>74</v>
      </c>
      <c r="AY40" t="s">
        <v>74</v>
      </c>
      <c r="AZ40" t="s">
        <v>74</v>
      </c>
      <c r="BA40" t="s">
        <v>74</v>
      </c>
      <c r="BB40">
        <v>12056</v>
      </c>
      <c r="BC40" t="s">
        <v>865</v>
      </c>
      <c r="BD40" t="s">
        <v>74</v>
      </c>
      <c r="BE40" t="s">
        <v>74</v>
      </c>
      <c r="BF40" t="s">
        <v>74</v>
      </c>
      <c r="BG40" t="s">
        <v>74</v>
      </c>
      <c r="BH40" t="s">
        <v>74</v>
      </c>
      <c r="BI40">
        <v>2</v>
      </c>
      <c r="BJ40" t="s">
        <v>866</v>
      </c>
      <c r="BK40" t="s">
        <v>842</v>
      </c>
      <c r="BL40" t="s">
        <v>866</v>
      </c>
      <c r="BM40" t="s">
        <v>867</v>
      </c>
      <c r="BN40" t="s">
        <v>74</v>
      </c>
      <c r="BO40" t="s">
        <v>74</v>
      </c>
      <c r="BP40" t="s">
        <v>74</v>
      </c>
      <c r="BQ40" t="s">
        <v>74</v>
      </c>
      <c r="BR40" t="s">
        <v>100</v>
      </c>
      <c r="BS40" t="s">
        <v>868</v>
      </c>
      <c r="BT40" t="str">
        <f>HYPERLINK("https%3A%2F%2Fwww.webofscience.com%2Fwos%2Fwoscc%2Ffull-record%2FWOS:000263466105304","View Full Record in Web of Science")</f>
        <v>View Full Record in Web of Science</v>
      </c>
    </row>
    <row r="41" spans="1:72" x14ac:dyDescent="0.15">
      <c r="A41" t="s">
        <v>816</v>
      </c>
      <c r="B41" t="s">
        <v>869</v>
      </c>
      <c r="C41" t="s">
        <v>74</v>
      </c>
      <c r="D41" t="s">
        <v>74</v>
      </c>
      <c r="E41" t="s">
        <v>846</v>
      </c>
      <c r="F41" t="s">
        <v>870</v>
      </c>
      <c r="G41" t="s">
        <v>74</v>
      </c>
      <c r="H41" t="s">
        <v>74</v>
      </c>
      <c r="I41" t="s">
        <v>871</v>
      </c>
      <c r="J41" t="s">
        <v>872</v>
      </c>
      <c r="K41" t="s">
        <v>873</v>
      </c>
      <c r="L41" t="s">
        <v>74</v>
      </c>
      <c r="M41" t="s">
        <v>78</v>
      </c>
      <c r="N41" t="s">
        <v>823</v>
      </c>
      <c r="O41" t="s">
        <v>874</v>
      </c>
      <c r="P41" t="s">
        <v>875</v>
      </c>
      <c r="Q41" t="s">
        <v>876</v>
      </c>
      <c r="R41" t="s">
        <v>74</v>
      </c>
      <c r="S41" t="s">
        <v>74</v>
      </c>
      <c r="T41" t="s">
        <v>877</v>
      </c>
      <c r="U41" t="s">
        <v>878</v>
      </c>
      <c r="V41" t="s">
        <v>879</v>
      </c>
      <c r="W41" t="s">
        <v>880</v>
      </c>
      <c r="X41" t="s">
        <v>881</v>
      </c>
      <c r="Y41" t="s">
        <v>882</v>
      </c>
      <c r="Z41" t="s">
        <v>883</v>
      </c>
      <c r="AA41" t="s">
        <v>74</v>
      </c>
      <c r="AB41" t="s">
        <v>884</v>
      </c>
      <c r="AC41" t="s">
        <v>74</v>
      </c>
      <c r="AD41" t="s">
        <v>74</v>
      </c>
      <c r="AE41" t="s">
        <v>74</v>
      </c>
      <c r="AF41" t="s">
        <v>74</v>
      </c>
      <c r="AG41">
        <v>14</v>
      </c>
      <c r="AH41">
        <v>15</v>
      </c>
      <c r="AI41">
        <v>15</v>
      </c>
      <c r="AJ41">
        <v>3</v>
      </c>
      <c r="AK41">
        <v>9</v>
      </c>
      <c r="AL41" t="s">
        <v>846</v>
      </c>
      <c r="AM41" t="s">
        <v>662</v>
      </c>
      <c r="AN41" t="s">
        <v>862</v>
      </c>
      <c r="AO41" t="s">
        <v>885</v>
      </c>
      <c r="AP41" t="s">
        <v>74</v>
      </c>
      <c r="AQ41" t="s">
        <v>886</v>
      </c>
      <c r="AR41" t="s">
        <v>887</v>
      </c>
      <c r="AS41" t="s">
        <v>74</v>
      </c>
      <c r="AT41" t="s">
        <v>74</v>
      </c>
      <c r="AU41">
        <v>2008</v>
      </c>
      <c r="AV41" t="s">
        <v>74</v>
      </c>
      <c r="AW41" t="s">
        <v>74</v>
      </c>
      <c r="AX41" t="s">
        <v>74</v>
      </c>
      <c r="AY41" t="s">
        <v>74</v>
      </c>
      <c r="AZ41" t="s">
        <v>74</v>
      </c>
      <c r="BA41" t="s">
        <v>74</v>
      </c>
      <c r="BB41">
        <v>32</v>
      </c>
      <c r="BC41">
        <v>38</v>
      </c>
      <c r="BD41" t="s">
        <v>74</v>
      </c>
      <c r="BE41" t="s">
        <v>888</v>
      </c>
      <c r="BF41" t="str">
        <f>HYPERLINK("http://dx.doi.org/10.1109/AUV.2008.5290536","http://dx.doi.org/10.1109/AUV.2008.5290536")</f>
        <v>http://dx.doi.org/10.1109/AUV.2008.5290536</v>
      </c>
      <c r="BG41" t="s">
        <v>74</v>
      </c>
      <c r="BH41" t="s">
        <v>74</v>
      </c>
      <c r="BI41">
        <v>7</v>
      </c>
      <c r="BJ41" t="s">
        <v>889</v>
      </c>
      <c r="BK41" t="s">
        <v>842</v>
      </c>
      <c r="BL41" t="s">
        <v>890</v>
      </c>
      <c r="BM41" t="s">
        <v>891</v>
      </c>
      <c r="BN41" t="s">
        <v>74</v>
      </c>
      <c r="BO41" t="s">
        <v>74</v>
      </c>
      <c r="BP41" t="s">
        <v>74</v>
      </c>
      <c r="BQ41" t="s">
        <v>74</v>
      </c>
      <c r="BR41" t="s">
        <v>100</v>
      </c>
      <c r="BS41" t="s">
        <v>892</v>
      </c>
      <c r="BT41" t="str">
        <f>HYPERLINK("https%3A%2F%2Fwww.webofscience.com%2Fwos%2Fwoscc%2Ffull-record%2FWOS:000274806100006","View Full Record in Web of Science")</f>
        <v>View Full Record in Web of Science</v>
      </c>
    </row>
    <row r="42" spans="1:72" x14ac:dyDescent="0.15">
      <c r="A42" t="s">
        <v>816</v>
      </c>
      <c r="B42" t="s">
        <v>893</v>
      </c>
      <c r="C42" t="s">
        <v>74</v>
      </c>
      <c r="D42" t="s">
        <v>74</v>
      </c>
      <c r="E42" t="s">
        <v>846</v>
      </c>
      <c r="F42" t="s">
        <v>894</v>
      </c>
      <c r="G42" t="s">
        <v>74</v>
      </c>
      <c r="H42" t="s">
        <v>74</v>
      </c>
      <c r="I42" t="s">
        <v>895</v>
      </c>
      <c r="J42" t="s">
        <v>872</v>
      </c>
      <c r="K42" t="s">
        <v>873</v>
      </c>
      <c r="L42" t="s">
        <v>74</v>
      </c>
      <c r="M42" t="s">
        <v>78</v>
      </c>
      <c r="N42" t="s">
        <v>823</v>
      </c>
      <c r="O42" t="s">
        <v>874</v>
      </c>
      <c r="P42" t="s">
        <v>875</v>
      </c>
      <c r="Q42" t="s">
        <v>876</v>
      </c>
      <c r="R42" t="s">
        <v>74</v>
      </c>
      <c r="S42" t="s">
        <v>74</v>
      </c>
      <c r="T42" t="s">
        <v>896</v>
      </c>
      <c r="U42" t="s">
        <v>74</v>
      </c>
      <c r="V42" t="s">
        <v>897</v>
      </c>
      <c r="W42" t="s">
        <v>898</v>
      </c>
      <c r="X42" t="s">
        <v>899</v>
      </c>
      <c r="Y42" t="s">
        <v>900</v>
      </c>
      <c r="Z42" t="s">
        <v>74</v>
      </c>
      <c r="AA42" t="s">
        <v>74</v>
      </c>
      <c r="AB42" t="s">
        <v>74</v>
      </c>
      <c r="AC42" t="s">
        <v>901</v>
      </c>
      <c r="AD42" t="s">
        <v>902</v>
      </c>
      <c r="AE42" t="s">
        <v>903</v>
      </c>
      <c r="AF42" t="s">
        <v>74</v>
      </c>
      <c r="AG42">
        <v>21</v>
      </c>
      <c r="AH42">
        <v>2</v>
      </c>
      <c r="AI42">
        <v>2</v>
      </c>
      <c r="AJ42">
        <v>0</v>
      </c>
      <c r="AK42">
        <v>2</v>
      </c>
      <c r="AL42" t="s">
        <v>846</v>
      </c>
      <c r="AM42" t="s">
        <v>662</v>
      </c>
      <c r="AN42" t="s">
        <v>862</v>
      </c>
      <c r="AO42" t="s">
        <v>885</v>
      </c>
      <c r="AP42" t="s">
        <v>74</v>
      </c>
      <c r="AQ42" t="s">
        <v>886</v>
      </c>
      <c r="AR42" t="s">
        <v>887</v>
      </c>
      <c r="AS42" t="s">
        <v>74</v>
      </c>
      <c r="AT42" t="s">
        <v>74</v>
      </c>
      <c r="AU42">
        <v>2008</v>
      </c>
      <c r="AV42" t="s">
        <v>74</v>
      </c>
      <c r="AW42" t="s">
        <v>74</v>
      </c>
      <c r="AX42" t="s">
        <v>74</v>
      </c>
      <c r="AY42" t="s">
        <v>74</v>
      </c>
      <c r="AZ42" t="s">
        <v>74</v>
      </c>
      <c r="BA42" t="s">
        <v>74</v>
      </c>
      <c r="BB42">
        <v>55</v>
      </c>
      <c r="BC42" t="s">
        <v>865</v>
      </c>
      <c r="BD42" t="s">
        <v>74</v>
      </c>
      <c r="BE42" t="s">
        <v>74</v>
      </c>
      <c r="BF42" t="s">
        <v>74</v>
      </c>
      <c r="BG42" t="s">
        <v>74</v>
      </c>
      <c r="BH42" t="s">
        <v>74</v>
      </c>
      <c r="BI42">
        <v>3</v>
      </c>
      <c r="BJ42" t="s">
        <v>889</v>
      </c>
      <c r="BK42" t="s">
        <v>842</v>
      </c>
      <c r="BL42" t="s">
        <v>890</v>
      </c>
      <c r="BM42" t="s">
        <v>891</v>
      </c>
      <c r="BN42" t="s">
        <v>74</v>
      </c>
      <c r="BO42" t="s">
        <v>74</v>
      </c>
      <c r="BP42" t="s">
        <v>74</v>
      </c>
      <c r="BQ42" t="s">
        <v>74</v>
      </c>
      <c r="BR42" t="s">
        <v>100</v>
      </c>
      <c r="BS42" t="s">
        <v>904</v>
      </c>
      <c r="BT42" t="str">
        <f>HYPERLINK("https%3A%2F%2Fwww.webofscience.com%2Fwos%2Fwoscc%2Ffull-record%2FWOS:000274806100009","View Full Record in Web of Science")</f>
        <v>View Full Record in Web of Science</v>
      </c>
    </row>
    <row r="43" spans="1:72" x14ac:dyDescent="0.15">
      <c r="A43" t="s">
        <v>816</v>
      </c>
      <c r="B43" t="s">
        <v>905</v>
      </c>
      <c r="C43" t="s">
        <v>74</v>
      </c>
      <c r="D43" t="s">
        <v>74</v>
      </c>
      <c r="E43" t="s">
        <v>846</v>
      </c>
      <c r="F43" t="s">
        <v>906</v>
      </c>
      <c r="G43" t="s">
        <v>74</v>
      </c>
      <c r="H43" t="s">
        <v>74</v>
      </c>
      <c r="I43" t="s">
        <v>907</v>
      </c>
      <c r="J43" t="s">
        <v>908</v>
      </c>
      <c r="K43" t="s">
        <v>74</v>
      </c>
      <c r="L43" t="s">
        <v>74</v>
      </c>
      <c r="M43" t="s">
        <v>78</v>
      </c>
      <c r="N43" t="s">
        <v>823</v>
      </c>
      <c r="O43" t="s">
        <v>909</v>
      </c>
      <c r="P43" t="s">
        <v>910</v>
      </c>
      <c r="Q43" t="s">
        <v>911</v>
      </c>
      <c r="R43" t="s">
        <v>74</v>
      </c>
      <c r="S43" t="s">
        <v>74</v>
      </c>
      <c r="T43" t="s">
        <v>74</v>
      </c>
      <c r="U43" t="s">
        <v>74</v>
      </c>
      <c r="V43" t="s">
        <v>912</v>
      </c>
      <c r="W43" t="s">
        <v>913</v>
      </c>
      <c r="X43" t="s">
        <v>914</v>
      </c>
      <c r="Y43" t="s">
        <v>915</v>
      </c>
      <c r="Z43" t="s">
        <v>74</v>
      </c>
      <c r="AA43" t="s">
        <v>916</v>
      </c>
      <c r="AB43" t="s">
        <v>917</v>
      </c>
      <c r="AC43" t="s">
        <v>918</v>
      </c>
      <c r="AD43" t="s">
        <v>919</v>
      </c>
      <c r="AE43" t="s">
        <v>920</v>
      </c>
      <c r="AF43" t="s">
        <v>74</v>
      </c>
      <c r="AG43">
        <v>4</v>
      </c>
      <c r="AH43">
        <v>1</v>
      </c>
      <c r="AI43">
        <v>1</v>
      </c>
      <c r="AJ43">
        <v>0</v>
      </c>
      <c r="AK43">
        <v>0</v>
      </c>
      <c r="AL43" t="s">
        <v>846</v>
      </c>
      <c r="AM43" t="s">
        <v>662</v>
      </c>
      <c r="AN43" t="s">
        <v>862</v>
      </c>
      <c r="AO43" t="s">
        <v>74</v>
      </c>
      <c r="AP43" t="s">
        <v>74</v>
      </c>
      <c r="AQ43" t="s">
        <v>921</v>
      </c>
      <c r="AR43" t="s">
        <v>74</v>
      </c>
      <c r="AS43" t="s">
        <v>74</v>
      </c>
      <c r="AT43" t="s">
        <v>74</v>
      </c>
      <c r="AU43">
        <v>2008</v>
      </c>
      <c r="AV43" t="s">
        <v>74</v>
      </c>
      <c r="AW43" t="s">
        <v>74</v>
      </c>
      <c r="AX43" t="s">
        <v>74</v>
      </c>
      <c r="AY43" t="s">
        <v>74</v>
      </c>
      <c r="AZ43" t="s">
        <v>74</v>
      </c>
      <c r="BA43" t="s">
        <v>74</v>
      </c>
      <c r="BB43">
        <v>1</v>
      </c>
      <c r="BC43" t="s">
        <v>865</v>
      </c>
      <c r="BD43" t="s">
        <v>74</v>
      </c>
      <c r="BE43" t="s">
        <v>922</v>
      </c>
      <c r="BF43" t="str">
        <f>HYPERLINK("http://dx.doi.org/10.1109/BALTIC.2008.4625486","http://dx.doi.org/10.1109/BALTIC.2008.4625486")</f>
        <v>http://dx.doi.org/10.1109/BALTIC.2008.4625486</v>
      </c>
      <c r="BG43" t="s">
        <v>74</v>
      </c>
      <c r="BH43" t="s">
        <v>74</v>
      </c>
      <c r="BI43">
        <v>2</v>
      </c>
      <c r="BJ43" t="s">
        <v>923</v>
      </c>
      <c r="BK43" t="s">
        <v>842</v>
      </c>
      <c r="BL43" t="s">
        <v>924</v>
      </c>
      <c r="BM43" t="s">
        <v>925</v>
      </c>
      <c r="BN43" t="s">
        <v>74</v>
      </c>
      <c r="BO43" t="s">
        <v>74</v>
      </c>
      <c r="BP43" t="s">
        <v>74</v>
      </c>
      <c r="BQ43" t="s">
        <v>74</v>
      </c>
      <c r="BR43" t="s">
        <v>100</v>
      </c>
      <c r="BS43" t="s">
        <v>926</v>
      </c>
      <c r="BT43" t="str">
        <f>HYPERLINK("https%3A%2F%2Fwww.webofscience.com%2Fwos%2Fwoscc%2Ffull-record%2FWOS:000262477400001","View Full Record in Web of Science")</f>
        <v>View Full Record in Web of Science</v>
      </c>
    </row>
    <row r="44" spans="1:72" x14ac:dyDescent="0.15">
      <c r="A44" t="s">
        <v>816</v>
      </c>
      <c r="B44" t="s">
        <v>927</v>
      </c>
      <c r="C44" t="s">
        <v>74</v>
      </c>
      <c r="D44" t="s">
        <v>74</v>
      </c>
      <c r="E44" t="s">
        <v>846</v>
      </c>
      <c r="F44" t="s">
        <v>928</v>
      </c>
      <c r="G44" t="s">
        <v>74</v>
      </c>
      <c r="H44" t="s">
        <v>74</v>
      </c>
      <c r="I44" t="s">
        <v>929</v>
      </c>
      <c r="J44" t="s">
        <v>908</v>
      </c>
      <c r="K44" t="s">
        <v>74</v>
      </c>
      <c r="L44" t="s">
        <v>74</v>
      </c>
      <c r="M44" t="s">
        <v>78</v>
      </c>
      <c r="N44" t="s">
        <v>823</v>
      </c>
      <c r="O44" t="s">
        <v>909</v>
      </c>
      <c r="P44" t="s">
        <v>910</v>
      </c>
      <c r="Q44" t="s">
        <v>911</v>
      </c>
      <c r="R44" t="s">
        <v>74</v>
      </c>
      <c r="S44" t="s">
        <v>74</v>
      </c>
      <c r="T44" t="s">
        <v>74</v>
      </c>
      <c r="U44" t="s">
        <v>74</v>
      </c>
      <c r="V44" t="s">
        <v>930</v>
      </c>
      <c r="W44" t="s">
        <v>931</v>
      </c>
      <c r="X44" t="s">
        <v>932</v>
      </c>
      <c r="Y44" t="s">
        <v>933</v>
      </c>
      <c r="Z44" t="s">
        <v>74</v>
      </c>
      <c r="AA44" t="s">
        <v>934</v>
      </c>
      <c r="AB44" t="s">
        <v>935</v>
      </c>
      <c r="AC44" t="s">
        <v>936</v>
      </c>
      <c r="AD44" t="s">
        <v>937</v>
      </c>
      <c r="AE44" t="s">
        <v>938</v>
      </c>
      <c r="AF44" t="s">
        <v>74</v>
      </c>
      <c r="AG44">
        <v>5</v>
      </c>
      <c r="AH44">
        <v>0</v>
      </c>
      <c r="AI44">
        <v>0</v>
      </c>
      <c r="AJ44">
        <v>0</v>
      </c>
      <c r="AK44">
        <v>0</v>
      </c>
      <c r="AL44" t="s">
        <v>846</v>
      </c>
      <c r="AM44" t="s">
        <v>662</v>
      </c>
      <c r="AN44" t="s">
        <v>862</v>
      </c>
      <c r="AO44" t="s">
        <v>74</v>
      </c>
      <c r="AP44" t="s">
        <v>74</v>
      </c>
      <c r="AQ44" t="s">
        <v>921</v>
      </c>
      <c r="AR44" t="s">
        <v>74</v>
      </c>
      <c r="AS44" t="s">
        <v>74</v>
      </c>
      <c r="AT44" t="s">
        <v>74</v>
      </c>
      <c r="AU44">
        <v>2008</v>
      </c>
      <c r="AV44" t="s">
        <v>74</v>
      </c>
      <c r="AW44" t="s">
        <v>74</v>
      </c>
      <c r="AX44" t="s">
        <v>74</v>
      </c>
      <c r="AY44" t="s">
        <v>74</v>
      </c>
      <c r="AZ44" t="s">
        <v>74</v>
      </c>
      <c r="BA44" t="s">
        <v>74</v>
      </c>
      <c r="BB44">
        <v>438</v>
      </c>
      <c r="BC44" t="s">
        <v>865</v>
      </c>
      <c r="BD44" t="s">
        <v>74</v>
      </c>
      <c r="BE44" t="s">
        <v>74</v>
      </c>
      <c r="BF44" t="s">
        <v>74</v>
      </c>
      <c r="BG44" t="s">
        <v>74</v>
      </c>
      <c r="BH44" t="s">
        <v>74</v>
      </c>
      <c r="BI44">
        <v>3</v>
      </c>
      <c r="BJ44" t="s">
        <v>923</v>
      </c>
      <c r="BK44" t="s">
        <v>842</v>
      </c>
      <c r="BL44" t="s">
        <v>924</v>
      </c>
      <c r="BM44" t="s">
        <v>925</v>
      </c>
      <c r="BN44" t="s">
        <v>74</v>
      </c>
      <c r="BO44" t="s">
        <v>74</v>
      </c>
      <c r="BP44" t="s">
        <v>74</v>
      </c>
      <c r="BQ44" t="s">
        <v>74</v>
      </c>
      <c r="BR44" t="s">
        <v>100</v>
      </c>
      <c r="BS44" t="s">
        <v>939</v>
      </c>
      <c r="BT44" t="str">
        <f>HYPERLINK("https%3A%2F%2Fwww.webofscience.com%2Fwos%2Fwoscc%2Ffull-record%2FWOS:000262477400068","View Full Record in Web of Science")</f>
        <v>View Full Record in Web of Science</v>
      </c>
    </row>
    <row r="45" spans="1:72" x14ac:dyDescent="0.15">
      <c r="A45" t="s">
        <v>816</v>
      </c>
      <c r="B45" t="s">
        <v>940</v>
      </c>
      <c r="C45" t="s">
        <v>74</v>
      </c>
      <c r="D45" t="s">
        <v>74</v>
      </c>
      <c r="E45" t="s">
        <v>846</v>
      </c>
      <c r="F45" t="s">
        <v>941</v>
      </c>
      <c r="G45" t="s">
        <v>74</v>
      </c>
      <c r="H45" t="s">
        <v>74</v>
      </c>
      <c r="I45" t="s">
        <v>942</v>
      </c>
      <c r="J45" t="s">
        <v>943</v>
      </c>
      <c r="K45" t="s">
        <v>944</v>
      </c>
      <c r="L45" t="s">
        <v>74</v>
      </c>
      <c r="M45" t="s">
        <v>78</v>
      </c>
      <c r="N45" t="s">
        <v>823</v>
      </c>
      <c r="O45" t="s">
        <v>945</v>
      </c>
      <c r="P45" t="s">
        <v>946</v>
      </c>
      <c r="Q45" t="s">
        <v>947</v>
      </c>
      <c r="R45" t="s">
        <v>74</v>
      </c>
      <c r="S45" t="s">
        <v>74</v>
      </c>
      <c r="T45" t="s">
        <v>948</v>
      </c>
      <c r="U45" t="s">
        <v>949</v>
      </c>
      <c r="V45" t="s">
        <v>950</v>
      </c>
      <c r="W45" t="s">
        <v>951</v>
      </c>
      <c r="X45" t="s">
        <v>952</v>
      </c>
      <c r="Y45" t="s">
        <v>953</v>
      </c>
      <c r="Z45" t="s">
        <v>954</v>
      </c>
      <c r="AA45" t="s">
        <v>955</v>
      </c>
      <c r="AB45" t="s">
        <v>956</v>
      </c>
      <c r="AC45" t="s">
        <v>957</v>
      </c>
      <c r="AD45" t="s">
        <v>957</v>
      </c>
      <c r="AE45" t="s">
        <v>958</v>
      </c>
      <c r="AF45" t="s">
        <v>74</v>
      </c>
      <c r="AG45">
        <v>12</v>
      </c>
      <c r="AH45">
        <v>0</v>
      </c>
      <c r="AI45">
        <v>0</v>
      </c>
      <c r="AJ45">
        <v>0</v>
      </c>
      <c r="AK45">
        <v>0</v>
      </c>
      <c r="AL45" t="s">
        <v>846</v>
      </c>
      <c r="AM45" t="s">
        <v>662</v>
      </c>
      <c r="AN45" t="s">
        <v>862</v>
      </c>
      <c r="AO45" t="s">
        <v>959</v>
      </c>
      <c r="AP45" t="s">
        <v>74</v>
      </c>
      <c r="AQ45" t="s">
        <v>960</v>
      </c>
      <c r="AR45" t="s">
        <v>961</v>
      </c>
      <c r="AS45" t="s">
        <v>74</v>
      </c>
      <c r="AT45" t="s">
        <v>74</v>
      </c>
      <c r="AU45">
        <v>2008</v>
      </c>
      <c r="AV45" t="s">
        <v>74</v>
      </c>
      <c r="AW45" t="s">
        <v>74</v>
      </c>
      <c r="AX45" t="s">
        <v>74</v>
      </c>
      <c r="AY45" t="s">
        <v>74</v>
      </c>
      <c r="AZ45" t="s">
        <v>74</v>
      </c>
      <c r="BA45" t="s">
        <v>74</v>
      </c>
      <c r="BB45">
        <v>1132</v>
      </c>
      <c r="BC45" t="s">
        <v>865</v>
      </c>
      <c r="BD45" t="s">
        <v>74</v>
      </c>
      <c r="BE45" t="s">
        <v>74</v>
      </c>
      <c r="BF45" t="s">
        <v>74</v>
      </c>
      <c r="BG45" t="s">
        <v>74</v>
      </c>
      <c r="BH45" t="s">
        <v>74</v>
      </c>
      <c r="BI45">
        <v>2</v>
      </c>
      <c r="BJ45" t="s">
        <v>962</v>
      </c>
      <c r="BK45" t="s">
        <v>842</v>
      </c>
      <c r="BL45" t="s">
        <v>962</v>
      </c>
      <c r="BM45" t="s">
        <v>963</v>
      </c>
      <c r="BN45" t="s">
        <v>74</v>
      </c>
      <c r="BO45" t="s">
        <v>74</v>
      </c>
      <c r="BP45" t="s">
        <v>74</v>
      </c>
      <c r="BQ45" t="s">
        <v>74</v>
      </c>
      <c r="BR45" t="s">
        <v>100</v>
      </c>
      <c r="BS45" t="s">
        <v>964</v>
      </c>
      <c r="BT45" t="str">
        <f>HYPERLINK("https%3A%2F%2Fwww.webofscience.com%2Fwos%2Fwoscc%2Ffull-record%2FWOS:000264663001002","View Full Record in Web of Science")</f>
        <v>View Full Record in Web of Science</v>
      </c>
    </row>
    <row r="46" spans="1:72" x14ac:dyDescent="0.15">
      <c r="A46" t="s">
        <v>816</v>
      </c>
      <c r="B46" t="s">
        <v>965</v>
      </c>
      <c r="C46" t="s">
        <v>74</v>
      </c>
      <c r="D46" t="s">
        <v>74</v>
      </c>
      <c r="E46" t="s">
        <v>846</v>
      </c>
      <c r="F46" t="s">
        <v>966</v>
      </c>
      <c r="G46" t="s">
        <v>74</v>
      </c>
      <c r="H46" t="s">
        <v>74</v>
      </c>
      <c r="I46" t="s">
        <v>967</v>
      </c>
      <c r="J46" t="s">
        <v>968</v>
      </c>
      <c r="K46" t="s">
        <v>74</v>
      </c>
      <c r="L46" t="s">
        <v>74</v>
      </c>
      <c r="M46" t="s">
        <v>78</v>
      </c>
      <c r="N46" t="s">
        <v>823</v>
      </c>
      <c r="O46" t="s">
        <v>969</v>
      </c>
      <c r="P46" t="s">
        <v>970</v>
      </c>
      <c r="Q46" t="s">
        <v>971</v>
      </c>
      <c r="R46" t="s">
        <v>74</v>
      </c>
      <c r="S46" t="s">
        <v>74</v>
      </c>
      <c r="T46" t="s">
        <v>74</v>
      </c>
      <c r="U46" t="s">
        <v>74</v>
      </c>
      <c r="V46" t="s">
        <v>972</v>
      </c>
      <c r="W46" t="s">
        <v>973</v>
      </c>
      <c r="X46" t="s">
        <v>974</v>
      </c>
      <c r="Y46" t="s">
        <v>975</v>
      </c>
      <c r="Z46" t="s">
        <v>976</v>
      </c>
      <c r="AA46" t="s">
        <v>977</v>
      </c>
      <c r="AB46" t="s">
        <v>978</v>
      </c>
      <c r="AC46" t="s">
        <v>979</v>
      </c>
      <c r="AD46" t="s">
        <v>980</v>
      </c>
      <c r="AE46" t="s">
        <v>981</v>
      </c>
      <c r="AF46" t="s">
        <v>74</v>
      </c>
      <c r="AG46">
        <v>16</v>
      </c>
      <c r="AH46">
        <v>5</v>
      </c>
      <c r="AI46">
        <v>5</v>
      </c>
      <c r="AJ46">
        <v>0</v>
      </c>
      <c r="AK46">
        <v>2</v>
      </c>
      <c r="AL46" t="s">
        <v>846</v>
      </c>
      <c r="AM46" t="s">
        <v>662</v>
      </c>
      <c r="AN46" t="s">
        <v>862</v>
      </c>
      <c r="AO46" t="s">
        <v>74</v>
      </c>
      <c r="AP46" t="s">
        <v>74</v>
      </c>
      <c r="AQ46" t="s">
        <v>982</v>
      </c>
      <c r="AR46" t="s">
        <v>74</v>
      </c>
      <c r="AS46" t="s">
        <v>74</v>
      </c>
      <c r="AT46" t="s">
        <v>74</v>
      </c>
      <c r="AU46">
        <v>2008</v>
      </c>
      <c r="AV46" t="s">
        <v>74</v>
      </c>
      <c r="AW46" t="s">
        <v>74</v>
      </c>
      <c r="AX46" t="s">
        <v>74</v>
      </c>
      <c r="AY46" t="s">
        <v>74</v>
      </c>
      <c r="AZ46" t="s">
        <v>74</v>
      </c>
      <c r="BA46" t="s">
        <v>74</v>
      </c>
      <c r="BB46">
        <v>273</v>
      </c>
      <c r="BC46" t="s">
        <v>865</v>
      </c>
      <c r="BD46" t="s">
        <v>74</v>
      </c>
      <c r="BE46" t="s">
        <v>74</v>
      </c>
      <c r="BF46" t="s">
        <v>74</v>
      </c>
      <c r="BG46" t="s">
        <v>74</v>
      </c>
      <c r="BH46" t="s">
        <v>74</v>
      </c>
      <c r="BI46">
        <v>2</v>
      </c>
      <c r="BJ46" t="s">
        <v>983</v>
      </c>
      <c r="BK46" t="s">
        <v>842</v>
      </c>
      <c r="BL46" t="s">
        <v>984</v>
      </c>
      <c r="BM46" t="s">
        <v>985</v>
      </c>
      <c r="BN46" t="s">
        <v>74</v>
      </c>
      <c r="BO46" t="s">
        <v>74</v>
      </c>
      <c r="BP46" t="s">
        <v>74</v>
      </c>
      <c r="BQ46" t="s">
        <v>74</v>
      </c>
      <c r="BR46" t="s">
        <v>100</v>
      </c>
      <c r="BS46" t="s">
        <v>986</v>
      </c>
      <c r="BT46" t="str">
        <f>HYPERLINK("https%3A%2F%2Fwww.webofscience.com%2Fwos%2Fwoscc%2Ffull-record%2FWOS:000263784000053","View Full Record in Web of Science")</f>
        <v>View Full Record in Web of Science</v>
      </c>
    </row>
    <row r="47" spans="1:72" x14ac:dyDescent="0.15">
      <c r="A47" t="s">
        <v>816</v>
      </c>
      <c r="B47" t="s">
        <v>987</v>
      </c>
      <c r="C47" t="s">
        <v>74</v>
      </c>
      <c r="D47" t="s">
        <v>74</v>
      </c>
      <c r="E47" t="s">
        <v>846</v>
      </c>
      <c r="F47" t="s">
        <v>988</v>
      </c>
      <c r="G47" t="s">
        <v>74</v>
      </c>
      <c r="H47" t="s">
        <v>74</v>
      </c>
      <c r="I47" t="s">
        <v>989</v>
      </c>
      <c r="J47" t="s">
        <v>990</v>
      </c>
      <c r="K47" t="s">
        <v>74</v>
      </c>
      <c r="L47" t="s">
        <v>74</v>
      </c>
      <c r="M47" t="s">
        <v>78</v>
      </c>
      <c r="N47" t="s">
        <v>823</v>
      </c>
      <c r="O47" t="s">
        <v>991</v>
      </c>
      <c r="P47" t="s">
        <v>992</v>
      </c>
      <c r="Q47" t="s">
        <v>993</v>
      </c>
      <c r="R47" t="s">
        <v>74</v>
      </c>
      <c r="S47" t="s">
        <v>74</v>
      </c>
      <c r="T47" t="s">
        <v>994</v>
      </c>
      <c r="U47" t="s">
        <v>74</v>
      </c>
      <c r="V47" t="s">
        <v>995</v>
      </c>
      <c r="W47" t="s">
        <v>996</v>
      </c>
      <c r="X47" t="s">
        <v>997</v>
      </c>
      <c r="Y47" t="s">
        <v>998</v>
      </c>
      <c r="Z47" t="s">
        <v>999</v>
      </c>
      <c r="AA47" t="s">
        <v>1000</v>
      </c>
      <c r="AB47" t="s">
        <v>1001</v>
      </c>
      <c r="AC47" t="s">
        <v>74</v>
      </c>
      <c r="AD47" t="s">
        <v>74</v>
      </c>
      <c r="AE47" t="s">
        <v>74</v>
      </c>
      <c r="AF47" t="s">
        <v>74</v>
      </c>
      <c r="AG47">
        <v>13</v>
      </c>
      <c r="AH47">
        <v>0</v>
      </c>
      <c r="AI47">
        <v>0</v>
      </c>
      <c r="AJ47">
        <v>0</v>
      </c>
      <c r="AK47">
        <v>0</v>
      </c>
      <c r="AL47" t="s">
        <v>846</v>
      </c>
      <c r="AM47" t="s">
        <v>662</v>
      </c>
      <c r="AN47" t="s">
        <v>862</v>
      </c>
      <c r="AO47" t="s">
        <v>74</v>
      </c>
      <c r="AP47" t="s">
        <v>74</v>
      </c>
      <c r="AQ47" t="s">
        <v>1002</v>
      </c>
      <c r="AR47" t="s">
        <v>74</v>
      </c>
      <c r="AS47" t="s">
        <v>74</v>
      </c>
      <c r="AT47" t="s">
        <v>74</v>
      </c>
      <c r="AU47">
        <v>2008</v>
      </c>
      <c r="AV47" t="s">
        <v>74</v>
      </c>
      <c r="AW47" t="s">
        <v>74</v>
      </c>
      <c r="AX47" t="s">
        <v>74</v>
      </c>
      <c r="AY47" t="s">
        <v>74</v>
      </c>
      <c r="AZ47" t="s">
        <v>74</v>
      </c>
      <c r="BA47" t="s">
        <v>74</v>
      </c>
      <c r="BB47">
        <v>164</v>
      </c>
      <c r="BC47">
        <v>167</v>
      </c>
      <c r="BD47" t="s">
        <v>74</v>
      </c>
      <c r="BE47" t="s">
        <v>74</v>
      </c>
      <c r="BF47" t="s">
        <v>74</v>
      </c>
      <c r="BG47" t="s">
        <v>74</v>
      </c>
      <c r="BH47" t="s">
        <v>74</v>
      </c>
      <c r="BI47">
        <v>4</v>
      </c>
      <c r="BJ47" t="s">
        <v>1003</v>
      </c>
      <c r="BK47" t="s">
        <v>842</v>
      </c>
      <c r="BL47" t="s">
        <v>1004</v>
      </c>
      <c r="BM47" t="s">
        <v>1005</v>
      </c>
      <c r="BN47" t="s">
        <v>74</v>
      </c>
      <c r="BO47" t="s">
        <v>74</v>
      </c>
      <c r="BP47" t="s">
        <v>74</v>
      </c>
      <c r="BQ47" t="s">
        <v>74</v>
      </c>
      <c r="BR47" t="s">
        <v>100</v>
      </c>
      <c r="BS47" t="s">
        <v>1006</v>
      </c>
      <c r="BT47" t="str">
        <f>HYPERLINK("https%3A%2F%2Fwww.webofscience.com%2Fwos%2Fwoscc%2Ffull-record%2FWOS:000260085700042","View Full Record in Web of Science")</f>
        <v>View Full Record in Web of Science</v>
      </c>
    </row>
    <row r="48" spans="1:72" x14ac:dyDescent="0.15">
      <c r="A48" t="s">
        <v>816</v>
      </c>
      <c r="B48" t="s">
        <v>1007</v>
      </c>
      <c r="C48" t="s">
        <v>74</v>
      </c>
      <c r="D48" t="s">
        <v>1008</v>
      </c>
      <c r="E48" t="s">
        <v>74</v>
      </c>
      <c r="F48" t="s">
        <v>1009</v>
      </c>
      <c r="G48" t="s">
        <v>74</v>
      </c>
      <c r="H48" t="s">
        <v>74</v>
      </c>
      <c r="I48" t="s">
        <v>1010</v>
      </c>
      <c r="J48" t="s">
        <v>1011</v>
      </c>
      <c r="K48" t="s">
        <v>1012</v>
      </c>
      <c r="L48" t="s">
        <v>74</v>
      </c>
      <c r="M48" t="s">
        <v>78</v>
      </c>
      <c r="N48" t="s">
        <v>823</v>
      </c>
      <c r="O48" t="s">
        <v>1013</v>
      </c>
      <c r="P48" t="s">
        <v>1014</v>
      </c>
      <c r="Q48" t="s">
        <v>1015</v>
      </c>
      <c r="R48" t="s">
        <v>74</v>
      </c>
      <c r="S48" t="s">
        <v>74</v>
      </c>
      <c r="T48" t="s">
        <v>74</v>
      </c>
      <c r="U48" t="s">
        <v>74</v>
      </c>
      <c r="V48" t="s">
        <v>1016</v>
      </c>
      <c r="W48" t="s">
        <v>1017</v>
      </c>
      <c r="X48" t="s">
        <v>1018</v>
      </c>
      <c r="Y48" t="s">
        <v>1019</v>
      </c>
      <c r="Z48" t="s">
        <v>74</v>
      </c>
      <c r="AA48" t="s">
        <v>1020</v>
      </c>
      <c r="AB48" t="s">
        <v>1021</v>
      </c>
      <c r="AC48" t="s">
        <v>74</v>
      </c>
      <c r="AD48" t="s">
        <v>74</v>
      </c>
      <c r="AE48" t="s">
        <v>74</v>
      </c>
      <c r="AF48" t="s">
        <v>74</v>
      </c>
      <c r="AG48">
        <v>5</v>
      </c>
      <c r="AH48">
        <v>1</v>
      </c>
      <c r="AI48">
        <v>1</v>
      </c>
      <c r="AJ48">
        <v>0</v>
      </c>
      <c r="AK48">
        <v>0</v>
      </c>
      <c r="AL48" t="s">
        <v>1022</v>
      </c>
      <c r="AM48" t="s">
        <v>1023</v>
      </c>
      <c r="AN48" t="s">
        <v>1024</v>
      </c>
      <c r="AO48" t="s">
        <v>1025</v>
      </c>
      <c r="AP48" t="s">
        <v>74</v>
      </c>
      <c r="AQ48" t="s">
        <v>1026</v>
      </c>
      <c r="AR48" t="s">
        <v>1027</v>
      </c>
      <c r="AS48" t="s">
        <v>74</v>
      </c>
      <c r="AT48" t="s">
        <v>74</v>
      </c>
      <c r="AU48">
        <v>2008</v>
      </c>
      <c r="AV48">
        <v>33</v>
      </c>
      <c r="AW48" t="s">
        <v>74</v>
      </c>
      <c r="AX48" t="s">
        <v>74</v>
      </c>
      <c r="AY48" t="s">
        <v>74</v>
      </c>
      <c r="AZ48" t="s">
        <v>74</v>
      </c>
      <c r="BA48" t="s">
        <v>74</v>
      </c>
      <c r="BB48">
        <v>13</v>
      </c>
      <c r="BC48">
        <v>19</v>
      </c>
      <c r="BD48" t="s">
        <v>74</v>
      </c>
      <c r="BE48" t="s">
        <v>1028</v>
      </c>
      <c r="BF48" t="str">
        <f>HYPERLINK("http://dx.doi.org/10.1051/eas:0833004","http://dx.doi.org/10.1051/eas:0833004")</f>
        <v>http://dx.doi.org/10.1051/eas:0833004</v>
      </c>
      <c r="BG48" t="s">
        <v>74</v>
      </c>
      <c r="BH48" t="s">
        <v>74</v>
      </c>
      <c r="BI48">
        <v>7</v>
      </c>
      <c r="BJ48" t="s">
        <v>351</v>
      </c>
      <c r="BK48" t="s">
        <v>842</v>
      </c>
      <c r="BL48" t="s">
        <v>351</v>
      </c>
      <c r="BM48" t="s">
        <v>1029</v>
      </c>
      <c r="BN48" t="s">
        <v>74</v>
      </c>
      <c r="BO48" t="s">
        <v>74</v>
      </c>
      <c r="BP48" t="s">
        <v>74</v>
      </c>
      <c r="BQ48" t="s">
        <v>74</v>
      </c>
      <c r="BR48" t="s">
        <v>100</v>
      </c>
      <c r="BS48" t="s">
        <v>1030</v>
      </c>
      <c r="BT48" t="str">
        <f>HYPERLINK("https%3A%2F%2Fwww.webofscience.com%2Fwos%2Fwoscc%2Ffull-record%2FWOS:000262474300003","View Full Record in Web of Science")</f>
        <v>View Full Record in Web of Science</v>
      </c>
    </row>
    <row r="49" spans="1:72" x14ac:dyDescent="0.15">
      <c r="A49" t="s">
        <v>816</v>
      </c>
      <c r="B49" t="s">
        <v>1031</v>
      </c>
      <c r="C49" t="s">
        <v>74</v>
      </c>
      <c r="D49" t="s">
        <v>1008</v>
      </c>
      <c r="E49" t="s">
        <v>74</v>
      </c>
      <c r="F49" t="s">
        <v>1032</v>
      </c>
      <c r="G49" t="s">
        <v>74</v>
      </c>
      <c r="H49" t="s">
        <v>74</v>
      </c>
      <c r="I49" t="s">
        <v>1033</v>
      </c>
      <c r="J49" t="s">
        <v>1011</v>
      </c>
      <c r="K49" t="s">
        <v>1012</v>
      </c>
      <c r="L49" t="s">
        <v>74</v>
      </c>
      <c r="M49" t="s">
        <v>78</v>
      </c>
      <c r="N49" t="s">
        <v>823</v>
      </c>
      <c r="O49" t="s">
        <v>1013</v>
      </c>
      <c r="P49" t="s">
        <v>1014</v>
      </c>
      <c r="Q49" t="s">
        <v>1015</v>
      </c>
      <c r="R49" t="s">
        <v>74</v>
      </c>
      <c r="S49" t="s">
        <v>74</v>
      </c>
      <c r="T49" t="s">
        <v>74</v>
      </c>
      <c r="U49" t="s">
        <v>74</v>
      </c>
      <c r="V49" t="s">
        <v>1034</v>
      </c>
      <c r="W49" t="s">
        <v>1035</v>
      </c>
      <c r="X49" t="s">
        <v>1036</v>
      </c>
      <c r="Y49" t="s">
        <v>1037</v>
      </c>
      <c r="Z49" t="s">
        <v>74</v>
      </c>
      <c r="AA49" t="s">
        <v>74</v>
      </c>
      <c r="AB49" t="s">
        <v>74</v>
      </c>
      <c r="AC49" t="s">
        <v>74</v>
      </c>
      <c r="AD49" t="s">
        <v>74</v>
      </c>
      <c r="AE49" t="s">
        <v>74</v>
      </c>
      <c r="AF49" t="s">
        <v>74</v>
      </c>
      <c r="AG49">
        <v>20</v>
      </c>
      <c r="AH49">
        <v>1</v>
      </c>
      <c r="AI49">
        <v>1</v>
      </c>
      <c r="AJ49">
        <v>0</v>
      </c>
      <c r="AK49">
        <v>0</v>
      </c>
      <c r="AL49" t="s">
        <v>1022</v>
      </c>
      <c r="AM49" t="s">
        <v>1023</v>
      </c>
      <c r="AN49" t="s">
        <v>1024</v>
      </c>
      <c r="AO49" t="s">
        <v>1025</v>
      </c>
      <c r="AP49" t="s">
        <v>74</v>
      </c>
      <c r="AQ49" t="s">
        <v>1026</v>
      </c>
      <c r="AR49" t="s">
        <v>1027</v>
      </c>
      <c r="AS49" t="s">
        <v>74</v>
      </c>
      <c r="AT49" t="s">
        <v>74</v>
      </c>
      <c r="AU49">
        <v>2008</v>
      </c>
      <c r="AV49">
        <v>33</v>
      </c>
      <c r="AW49" t="s">
        <v>74</v>
      </c>
      <c r="AX49" t="s">
        <v>74</v>
      </c>
      <c r="AY49" t="s">
        <v>74</v>
      </c>
      <c r="AZ49" t="s">
        <v>74</v>
      </c>
      <c r="BA49" t="s">
        <v>74</v>
      </c>
      <c r="BB49">
        <v>63</v>
      </c>
      <c r="BC49">
        <v>70</v>
      </c>
      <c r="BD49" t="s">
        <v>74</v>
      </c>
      <c r="BE49" t="s">
        <v>1038</v>
      </c>
      <c r="BF49" t="str">
        <f>HYPERLINK("http://dx.doi.org/10.1051/eas:0833009","http://dx.doi.org/10.1051/eas:0833009")</f>
        <v>http://dx.doi.org/10.1051/eas:0833009</v>
      </c>
      <c r="BG49" t="s">
        <v>74</v>
      </c>
      <c r="BH49" t="s">
        <v>74</v>
      </c>
      <c r="BI49">
        <v>8</v>
      </c>
      <c r="BJ49" t="s">
        <v>351</v>
      </c>
      <c r="BK49" t="s">
        <v>842</v>
      </c>
      <c r="BL49" t="s">
        <v>351</v>
      </c>
      <c r="BM49" t="s">
        <v>1029</v>
      </c>
      <c r="BN49" t="s">
        <v>74</v>
      </c>
      <c r="BO49" t="s">
        <v>74</v>
      </c>
      <c r="BP49" t="s">
        <v>74</v>
      </c>
      <c r="BQ49" t="s">
        <v>74</v>
      </c>
      <c r="BR49" t="s">
        <v>100</v>
      </c>
      <c r="BS49" t="s">
        <v>1039</v>
      </c>
      <c r="BT49" t="str">
        <f>HYPERLINK("https%3A%2F%2Fwww.webofscience.com%2Fwos%2Fwoscc%2Ffull-record%2FWOS:000262474300008","View Full Record in Web of Science")</f>
        <v>View Full Record in Web of Science</v>
      </c>
    </row>
    <row r="50" spans="1:72" x14ac:dyDescent="0.15">
      <c r="A50" t="s">
        <v>816</v>
      </c>
      <c r="B50" t="s">
        <v>1040</v>
      </c>
      <c r="C50" t="s">
        <v>74</v>
      </c>
      <c r="D50" t="s">
        <v>1008</v>
      </c>
      <c r="E50" t="s">
        <v>74</v>
      </c>
      <c r="F50" t="s">
        <v>1041</v>
      </c>
      <c r="G50" t="s">
        <v>74</v>
      </c>
      <c r="H50" t="s">
        <v>74</v>
      </c>
      <c r="I50" t="s">
        <v>1042</v>
      </c>
      <c r="J50" t="s">
        <v>1043</v>
      </c>
      <c r="K50" t="s">
        <v>1044</v>
      </c>
      <c r="L50" t="s">
        <v>74</v>
      </c>
      <c r="M50" t="s">
        <v>78</v>
      </c>
      <c r="N50" t="s">
        <v>823</v>
      </c>
      <c r="O50" t="s">
        <v>1013</v>
      </c>
      <c r="P50" t="s">
        <v>1014</v>
      </c>
      <c r="Q50" t="s">
        <v>1015</v>
      </c>
      <c r="R50" t="s">
        <v>74</v>
      </c>
      <c r="S50" t="s">
        <v>74</v>
      </c>
      <c r="T50" t="s">
        <v>74</v>
      </c>
      <c r="U50" t="s">
        <v>1045</v>
      </c>
      <c r="V50" t="s">
        <v>1046</v>
      </c>
      <c r="W50" t="s">
        <v>1047</v>
      </c>
      <c r="X50" t="s">
        <v>74</v>
      </c>
      <c r="Y50" t="s">
        <v>1048</v>
      </c>
      <c r="Z50" t="s">
        <v>74</v>
      </c>
      <c r="AA50" t="s">
        <v>74</v>
      </c>
      <c r="AB50" t="s">
        <v>74</v>
      </c>
      <c r="AC50" t="s">
        <v>74</v>
      </c>
      <c r="AD50" t="s">
        <v>74</v>
      </c>
      <c r="AE50" t="s">
        <v>74</v>
      </c>
      <c r="AF50" t="s">
        <v>74</v>
      </c>
      <c r="AG50">
        <v>27</v>
      </c>
      <c r="AH50">
        <v>3</v>
      </c>
      <c r="AI50">
        <v>3</v>
      </c>
      <c r="AJ50">
        <v>0</v>
      </c>
      <c r="AK50">
        <v>0</v>
      </c>
      <c r="AL50" t="s">
        <v>1022</v>
      </c>
      <c r="AM50" t="s">
        <v>1023</v>
      </c>
      <c r="AN50" t="s">
        <v>1024</v>
      </c>
      <c r="AO50" t="s">
        <v>1025</v>
      </c>
      <c r="AP50" t="s">
        <v>74</v>
      </c>
      <c r="AQ50" t="s">
        <v>1026</v>
      </c>
      <c r="AR50" t="s">
        <v>1027</v>
      </c>
      <c r="AS50" t="s">
        <v>74</v>
      </c>
      <c r="AT50" t="s">
        <v>74</v>
      </c>
      <c r="AU50">
        <v>2008</v>
      </c>
      <c r="AV50">
        <v>33</v>
      </c>
      <c r="AW50" t="s">
        <v>74</v>
      </c>
      <c r="AX50" t="s">
        <v>74</v>
      </c>
      <c r="AY50" t="s">
        <v>74</v>
      </c>
      <c r="AZ50" t="s">
        <v>74</v>
      </c>
      <c r="BA50" t="s">
        <v>74</v>
      </c>
      <c r="BB50">
        <v>97</v>
      </c>
      <c r="BC50">
        <v>104</v>
      </c>
      <c r="BD50" t="s">
        <v>74</v>
      </c>
      <c r="BE50" t="s">
        <v>1049</v>
      </c>
      <c r="BF50" t="str">
        <f>HYPERLINK("http://dx.doi.org/10.1051/eas:0833014","http://dx.doi.org/10.1051/eas:0833014")</f>
        <v>http://dx.doi.org/10.1051/eas:0833014</v>
      </c>
      <c r="BG50" t="s">
        <v>74</v>
      </c>
      <c r="BH50" t="s">
        <v>74</v>
      </c>
      <c r="BI50">
        <v>8</v>
      </c>
      <c r="BJ50" t="s">
        <v>351</v>
      </c>
      <c r="BK50" t="s">
        <v>842</v>
      </c>
      <c r="BL50" t="s">
        <v>351</v>
      </c>
      <c r="BM50" t="s">
        <v>1029</v>
      </c>
      <c r="BN50" t="s">
        <v>74</v>
      </c>
      <c r="BO50" t="s">
        <v>1050</v>
      </c>
      <c r="BP50" t="s">
        <v>74</v>
      </c>
      <c r="BQ50" t="s">
        <v>74</v>
      </c>
      <c r="BR50" t="s">
        <v>100</v>
      </c>
      <c r="BS50" t="s">
        <v>1051</v>
      </c>
      <c r="BT50" t="str">
        <f>HYPERLINK("https%3A%2F%2Fwww.webofscience.com%2Fwos%2Fwoscc%2Ffull-record%2FWOS:000262474300013","View Full Record in Web of Science")</f>
        <v>View Full Record in Web of Science</v>
      </c>
    </row>
    <row r="51" spans="1:72" x14ac:dyDescent="0.15">
      <c r="A51" t="s">
        <v>816</v>
      </c>
      <c r="B51" t="s">
        <v>1052</v>
      </c>
      <c r="C51" t="s">
        <v>74</v>
      </c>
      <c r="D51" t="s">
        <v>1008</v>
      </c>
      <c r="E51" t="s">
        <v>74</v>
      </c>
      <c r="F51" t="s">
        <v>1053</v>
      </c>
      <c r="G51" t="s">
        <v>74</v>
      </c>
      <c r="H51" t="s">
        <v>74</v>
      </c>
      <c r="I51" t="s">
        <v>1054</v>
      </c>
      <c r="J51" t="s">
        <v>1011</v>
      </c>
      <c r="K51" t="s">
        <v>1012</v>
      </c>
      <c r="L51" t="s">
        <v>74</v>
      </c>
      <c r="M51" t="s">
        <v>78</v>
      </c>
      <c r="N51" t="s">
        <v>823</v>
      </c>
      <c r="O51" t="s">
        <v>1013</v>
      </c>
      <c r="P51" t="s">
        <v>1014</v>
      </c>
      <c r="Q51" t="s">
        <v>1015</v>
      </c>
      <c r="R51" t="s">
        <v>74</v>
      </c>
      <c r="S51" t="s">
        <v>74</v>
      </c>
      <c r="T51" t="s">
        <v>74</v>
      </c>
      <c r="U51" t="s">
        <v>1055</v>
      </c>
      <c r="V51" t="s">
        <v>1056</v>
      </c>
      <c r="W51" t="s">
        <v>1057</v>
      </c>
      <c r="X51" t="s">
        <v>1058</v>
      </c>
      <c r="Y51" t="s">
        <v>1059</v>
      </c>
      <c r="Z51" t="s">
        <v>74</v>
      </c>
      <c r="AA51" t="s">
        <v>74</v>
      </c>
      <c r="AB51" t="s">
        <v>74</v>
      </c>
      <c r="AC51" t="s">
        <v>74</v>
      </c>
      <c r="AD51" t="s">
        <v>74</v>
      </c>
      <c r="AE51" t="s">
        <v>74</v>
      </c>
      <c r="AF51" t="s">
        <v>74</v>
      </c>
      <c r="AG51">
        <v>14</v>
      </c>
      <c r="AH51">
        <v>0</v>
      </c>
      <c r="AI51">
        <v>0</v>
      </c>
      <c r="AJ51">
        <v>0</v>
      </c>
      <c r="AK51">
        <v>0</v>
      </c>
      <c r="AL51" t="s">
        <v>1022</v>
      </c>
      <c r="AM51" t="s">
        <v>1023</v>
      </c>
      <c r="AN51" t="s">
        <v>1024</v>
      </c>
      <c r="AO51" t="s">
        <v>1025</v>
      </c>
      <c r="AP51" t="s">
        <v>74</v>
      </c>
      <c r="AQ51" t="s">
        <v>1026</v>
      </c>
      <c r="AR51" t="s">
        <v>1027</v>
      </c>
      <c r="AS51" t="s">
        <v>74</v>
      </c>
      <c r="AT51" t="s">
        <v>74</v>
      </c>
      <c r="AU51">
        <v>2008</v>
      </c>
      <c r="AV51">
        <v>33</v>
      </c>
      <c r="AW51" t="s">
        <v>74</v>
      </c>
      <c r="AX51" t="s">
        <v>74</v>
      </c>
      <c r="AY51" t="s">
        <v>74</v>
      </c>
      <c r="AZ51" t="s">
        <v>74</v>
      </c>
      <c r="BA51" t="s">
        <v>74</v>
      </c>
      <c r="BB51">
        <v>131</v>
      </c>
      <c r="BC51">
        <v>137</v>
      </c>
      <c r="BD51" t="s">
        <v>74</v>
      </c>
      <c r="BE51" t="s">
        <v>1060</v>
      </c>
      <c r="BF51" t="str">
        <f>HYPERLINK("http://dx.doi.org/10.1051/eas:0833017","http://dx.doi.org/10.1051/eas:0833017")</f>
        <v>http://dx.doi.org/10.1051/eas:0833017</v>
      </c>
      <c r="BG51" t="s">
        <v>74</v>
      </c>
      <c r="BH51" t="s">
        <v>74</v>
      </c>
      <c r="BI51">
        <v>7</v>
      </c>
      <c r="BJ51" t="s">
        <v>351</v>
      </c>
      <c r="BK51" t="s">
        <v>842</v>
      </c>
      <c r="BL51" t="s">
        <v>351</v>
      </c>
      <c r="BM51" t="s">
        <v>1029</v>
      </c>
      <c r="BN51" t="s">
        <v>74</v>
      </c>
      <c r="BO51" t="s">
        <v>74</v>
      </c>
      <c r="BP51" t="s">
        <v>74</v>
      </c>
      <c r="BQ51" t="s">
        <v>74</v>
      </c>
      <c r="BR51" t="s">
        <v>100</v>
      </c>
      <c r="BS51" t="s">
        <v>1061</v>
      </c>
      <c r="BT51" t="str">
        <f>HYPERLINK("https%3A%2F%2Fwww.webofscience.com%2Fwos%2Fwoscc%2Ffull-record%2FWOS:000262474300016","View Full Record in Web of Science")</f>
        <v>View Full Record in Web of Science</v>
      </c>
    </row>
    <row r="52" spans="1:72" x14ac:dyDescent="0.15">
      <c r="A52" t="s">
        <v>816</v>
      </c>
      <c r="B52" t="s">
        <v>1062</v>
      </c>
      <c r="C52" t="s">
        <v>74</v>
      </c>
      <c r="D52" t="s">
        <v>1008</v>
      </c>
      <c r="E52" t="s">
        <v>74</v>
      </c>
      <c r="F52" t="s">
        <v>1063</v>
      </c>
      <c r="G52" t="s">
        <v>74</v>
      </c>
      <c r="H52" t="s">
        <v>74</v>
      </c>
      <c r="I52" t="s">
        <v>1064</v>
      </c>
      <c r="J52" t="s">
        <v>1011</v>
      </c>
      <c r="K52" t="s">
        <v>1012</v>
      </c>
      <c r="L52" t="s">
        <v>74</v>
      </c>
      <c r="M52" t="s">
        <v>78</v>
      </c>
      <c r="N52" t="s">
        <v>823</v>
      </c>
      <c r="O52" t="s">
        <v>1013</v>
      </c>
      <c r="P52" t="s">
        <v>1014</v>
      </c>
      <c r="Q52" t="s">
        <v>1015</v>
      </c>
      <c r="R52" t="s">
        <v>74</v>
      </c>
      <c r="S52" t="s">
        <v>74</v>
      </c>
      <c r="T52" t="s">
        <v>74</v>
      </c>
      <c r="U52" t="s">
        <v>1065</v>
      </c>
      <c r="V52" t="s">
        <v>1066</v>
      </c>
      <c r="W52" t="s">
        <v>1067</v>
      </c>
      <c r="X52" t="s">
        <v>1068</v>
      </c>
      <c r="Y52" t="s">
        <v>1069</v>
      </c>
      <c r="Z52" t="s">
        <v>1070</v>
      </c>
      <c r="AA52" t="s">
        <v>74</v>
      </c>
      <c r="AB52" t="s">
        <v>1071</v>
      </c>
      <c r="AC52" t="s">
        <v>74</v>
      </c>
      <c r="AD52" t="s">
        <v>74</v>
      </c>
      <c r="AE52" t="s">
        <v>74</v>
      </c>
      <c r="AF52" t="s">
        <v>74</v>
      </c>
      <c r="AG52">
        <v>5</v>
      </c>
      <c r="AH52">
        <v>3</v>
      </c>
      <c r="AI52">
        <v>3</v>
      </c>
      <c r="AJ52">
        <v>0</v>
      </c>
      <c r="AK52">
        <v>0</v>
      </c>
      <c r="AL52" t="s">
        <v>1022</v>
      </c>
      <c r="AM52" t="s">
        <v>1023</v>
      </c>
      <c r="AN52" t="s">
        <v>1024</v>
      </c>
      <c r="AO52" t="s">
        <v>1025</v>
      </c>
      <c r="AP52" t="s">
        <v>74</v>
      </c>
      <c r="AQ52" t="s">
        <v>1026</v>
      </c>
      <c r="AR52" t="s">
        <v>1027</v>
      </c>
      <c r="AS52" t="s">
        <v>74</v>
      </c>
      <c r="AT52" t="s">
        <v>74</v>
      </c>
      <c r="AU52">
        <v>2008</v>
      </c>
      <c r="AV52">
        <v>33</v>
      </c>
      <c r="AW52" t="s">
        <v>74</v>
      </c>
      <c r="AX52" t="s">
        <v>74</v>
      </c>
      <c r="AY52" t="s">
        <v>74</v>
      </c>
      <c r="AZ52" t="s">
        <v>74</v>
      </c>
      <c r="BA52" t="s">
        <v>74</v>
      </c>
      <c r="BB52">
        <v>207</v>
      </c>
      <c r="BC52">
        <v>211</v>
      </c>
      <c r="BD52" t="s">
        <v>74</v>
      </c>
      <c r="BE52" t="s">
        <v>1072</v>
      </c>
      <c r="BF52" t="str">
        <f>HYPERLINK("http://dx.doi.org/10.1051/eas:0833026","http://dx.doi.org/10.1051/eas:0833026")</f>
        <v>http://dx.doi.org/10.1051/eas:0833026</v>
      </c>
      <c r="BG52" t="s">
        <v>74</v>
      </c>
      <c r="BH52" t="s">
        <v>74</v>
      </c>
      <c r="BI52">
        <v>5</v>
      </c>
      <c r="BJ52" t="s">
        <v>351</v>
      </c>
      <c r="BK52" t="s">
        <v>842</v>
      </c>
      <c r="BL52" t="s">
        <v>351</v>
      </c>
      <c r="BM52" t="s">
        <v>1029</v>
      </c>
      <c r="BN52" t="s">
        <v>74</v>
      </c>
      <c r="BO52" t="s">
        <v>74</v>
      </c>
      <c r="BP52" t="s">
        <v>74</v>
      </c>
      <c r="BQ52" t="s">
        <v>74</v>
      </c>
      <c r="BR52" t="s">
        <v>100</v>
      </c>
      <c r="BS52" t="s">
        <v>1073</v>
      </c>
      <c r="BT52" t="str">
        <f>HYPERLINK("https%3A%2F%2Fwww.webofscience.com%2Fwos%2Fwoscc%2Ffull-record%2FWOS:000262474300025","View Full Record in Web of Science")</f>
        <v>View Full Record in Web of Science</v>
      </c>
    </row>
    <row r="53" spans="1:72" x14ac:dyDescent="0.15">
      <c r="A53" t="s">
        <v>816</v>
      </c>
      <c r="B53" t="s">
        <v>1074</v>
      </c>
      <c r="C53" t="s">
        <v>74</v>
      </c>
      <c r="D53" t="s">
        <v>1008</v>
      </c>
      <c r="E53" t="s">
        <v>74</v>
      </c>
      <c r="F53" t="s">
        <v>1075</v>
      </c>
      <c r="G53" t="s">
        <v>74</v>
      </c>
      <c r="H53" t="s">
        <v>74</v>
      </c>
      <c r="I53" t="s">
        <v>1076</v>
      </c>
      <c r="J53" t="s">
        <v>1043</v>
      </c>
      <c r="K53" t="s">
        <v>1044</v>
      </c>
      <c r="L53" t="s">
        <v>74</v>
      </c>
      <c r="M53" t="s">
        <v>78</v>
      </c>
      <c r="N53" t="s">
        <v>823</v>
      </c>
      <c r="O53" t="s">
        <v>1013</v>
      </c>
      <c r="P53" t="s">
        <v>1014</v>
      </c>
      <c r="Q53" t="s">
        <v>1015</v>
      </c>
      <c r="R53" t="s">
        <v>74</v>
      </c>
      <c r="S53" t="s">
        <v>74</v>
      </c>
      <c r="T53" t="s">
        <v>74</v>
      </c>
      <c r="U53" t="s">
        <v>1077</v>
      </c>
      <c r="V53" t="s">
        <v>1078</v>
      </c>
      <c r="W53" t="s">
        <v>74</v>
      </c>
      <c r="X53" t="s">
        <v>74</v>
      </c>
      <c r="Y53" t="s">
        <v>1079</v>
      </c>
      <c r="Z53" t="s">
        <v>74</v>
      </c>
      <c r="AA53" t="s">
        <v>74</v>
      </c>
      <c r="AB53" t="s">
        <v>74</v>
      </c>
      <c r="AC53" t="s">
        <v>74</v>
      </c>
      <c r="AD53" t="s">
        <v>74</v>
      </c>
      <c r="AE53" t="s">
        <v>74</v>
      </c>
      <c r="AF53" t="s">
        <v>74</v>
      </c>
      <c r="AG53">
        <v>53</v>
      </c>
      <c r="AH53">
        <v>1</v>
      </c>
      <c r="AI53">
        <v>1</v>
      </c>
      <c r="AJ53">
        <v>0</v>
      </c>
      <c r="AK53">
        <v>0</v>
      </c>
      <c r="AL53" t="s">
        <v>1022</v>
      </c>
      <c r="AM53" t="s">
        <v>1023</v>
      </c>
      <c r="AN53" t="s">
        <v>1024</v>
      </c>
      <c r="AO53" t="s">
        <v>1025</v>
      </c>
      <c r="AP53" t="s">
        <v>74</v>
      </c>
      <c r="AQ53" t="s">
        <v>1026</v>
      </c>
      <c r="AR53" t="s">
        <v>1027</v>
      </c>
      <c r="AS53" t="s">
        <v>74</v>
      </c>
      <c r="AT53" t="s">
        <v>74</v>
      </c>
      <c r="AU53">
        <v>2008</v>
      </c>
      <c r="AV53">
        <v>33</v>
      </c>
      <c r="AW53" t="s">
        <v>74</v>
      </c>
      <c r="AX53" t="s">
        <v>74</v>
      </c>
      <c r="AY53" t="s">
        <v>74</v>
      </c>
      <c r="AZ53" t="s">
        <v>74</v>
      </c>
      <c r="BA53" t="s">
        <v>74</v>
      </c>
      <c r="BB53">
        <v>225</v>
      </c>
      <c r="BC53">
        <v>232</v>
      </c>
      <c r="BD53" t="s">
        <v>74</v>
      </c>
      <c r="BE53" t="s">
        <v>1080</v>
      </c>
      <c r="BF53" t="str">
        <f>HYPERLINK("http://dx.doi.org/10.1051/eas:0833029","http://dx.doi.org/10.1051/eas:0833029")</f>
        <v>http://dx.doi.org/10.1051/eas:0833029</v>
      </c>
      <c r="BG53" t="s">
        <v>74</v>
      </c>
      <c r="BH53" t="s">
        <v>74</v>
      </c>
      <c r="BI53">
        <v>8</v>
      </c>
      <c r="BJ53" t="s">
        <v>351</v>
      </c>
      <c r="BK53" t="s">
        <v>842</v>
      </c>
      <c r="BL53" t="s">
        <v>351</v>
      </c>
      <c r="BM53" t="s">
        <v>1029</v>
      </c>
      <c r="BN53" t="s">
        <v>74</v>
      </c>
      <c r="BO53" t="s">
        <v>74</v>
      </c>
      <c r="BP53" t="s">
        <v>74</v>
      </c>
      <c r="BQ53" t="s">
        <v>74</v>
      </c>
      <c r="BR53" t="s">
        <v>100</v>
      </c>
      <c r="BS53" t="s">
        <v>1081</v>
      </c>
      <c r="BT53" t="str">
        <f>HYPERLINK("https%3A%2F%2Fwww.webofscience.com%2Fwos%2Fwoscc%2Ffull-record%2FWOS:000262474300028","View Full Record in Web of Science")</f>
        <v>View Full Record in Web of Science</v>
      </c>
    </row>
    <row r="54" spans="1:72" x14ac:dyDescent="0.15">
      <c r="A54" t="s">
        <v>816</v>
      </c>
      <c r="B54" t="s">
        <v>1082</v>
      </c>
      <c r="C54" t="s">
        <v>74</v>
      </c>
      <c r="D54" t="s">
        <v>1008</v>
      </c>
      <c r="E54" t="s">
        <v>74</v>
      </c>
      <c r="F54" t="s">
        <v>1083</v>
      </c>
      <c r="G54" t="s">
        <v>74</v>
      </c>
      <c r="H54" t="s">
        <v>74</v>
      </c>
      <c r="I54" t="s">
        <v>1084</v>
      </c>
      <c r="J54" t="s">
        <v>1011</v>
      </c>
      <c r="K54" t="s">
        <v>1012</v>
      </c>
      <c r="L54" t="s">
        <v>74</v>
      </c>
      <c r="M54" t="s">
        <v>78</v>
      </c>
      <c r="N54" t="s">
        <v>823</v>
      </c>
      <c r="O54" t="s">
        <v>1013</v>
      </c>
      <c r="P54" t="s">
        <v>1014</v>
      </c>
      <c r="Q54" t="s">
        <v>1015</v>
      </c>
      <c r="R54" t="s">
        <v>74</v>
      </c>
      <c r="S54" t="s">
        <v>74</v>
      </c>
      <c r="T54" t="s">
        <v>74</v>
      </c>
      <c r="U54" t="s">
        <v>74</v>
      </c>
      <c r="V54" t="s">
        <v>1085</v>
      </c>
      <c r="W54" t="s">
        <v>1086</v>
      </c>
      <c r="X54" t="s">
        <v>1087</v>
      </c>
      <c r="Y54" t="s">
        <v>1088</v>
      </c>
      <c r="Z54" t="s">
        <v>74</v>
      </c>
      <c r="AA54" t="s">
        <v>74</v>
      </c>
      <c r="AB54" t="s">
        <v>74</v>
      </c>
      <c r="AC54" t="s">
        <v>74</v>
      </c>
      <c r="AD54" t="s">
        <v>74</v>
      </c>
      <c r="AE54" t="s">
        <v>74</v>
      </c>
      <c r="AF54" t="s">
        <v>74</v>
      </c>
      <c r="AG54">
        <v>0</v>
      </c>
      <c r="AH54">
        <v>1</v>
      </c>
      <c r="AI54">
        <v>1</v>
      </c>
      <c r="AJ54">
        <v>1</v>
      </c>
      <c r="AK54">
        <v>3</v>
      </c>
      <c r="AL54" t="s">
        <v>1022</v>
      </c>
      <c r="AM54" t="s">
        <v>1023</v>
      </c>
      <c r="AN54" t="s">
        <v>1024</v>
      </c>
      <c r="AO54" t="s">
        <v>1025</v>
      </c>
      <c r="AP54" t="s">
        <v>74</v>
      </c>
      <c r="AQ54" t="s">
        <v>1026</v>
      </c>
      <c r="AR54" t="s">
        <v>1027</v>
      </c>
      <c r="AS54" t="s">
        <v>74</v>
      </c>
      <c r="AT54" t="s">
        <v>74</v>
      </c>
      <c r="AU54">
        <v>2008</v>
      </c>
      <c r="AV54">
        <v>33</v>
      </c>
      <c r="AW54" t="s">
        <v>74</v>
      </c>
      <c r="AX54" t="s">
        <v>74</v>
      </c>
      <c r="AY54" t="s">
        <v>74</v>
      </c>
      <c r="AZ54" t="s">
        <v>74</v>
      </c>
      <c r="BA54" t="s">
        <v>74</v>
      </c>
      <c r="BB54">
        <v>233</v>
      </c>
      <c r="BC54">
        <v>238</v>
      </c>
      <c r="BD54" t="s">
        <v>74</v>
      </c>
      <c r="BE54" t="s">
        <v>1089</v>
      </c>
      <c r="BF54" t="str">
        <f>HYPERLINK("http://dx.doi.org/10.1051/eas:0833030","http://dx.doi.org/10.1051/eas:0833030")</f>
        <v>http://dx.doi.org/10.1051/eas:0833030</v>
      </c>
      <c r="BG54" t="s">
        <v>74</v>
      </c>
      <c r="BH54" t="s">
        <v>74</v>
      </c>
      <c r="BI54">
        <v>6</v>
      </c>
      <c r="BJ54" t="s">
        <v>351</v>
      </c>
      <c r="BK54" t="s">
        <v>842</v>
      </c>
      <c r="BL54" t="s">
        <v>351</v>
      </c>
      <c r="BM54" t="s">
        <v>1029</v>
      </c>
      <c r="BN54" t="s">
        <v>74</v>
      </c>
      <c r="BO54" t="s">
        <v>74</v>
      </c>
      <c r="BP54" t="s">
        <v>74</v>
      </c>
      <c r="BQ54" t="s">
        <v>74</v>
      </c>
      <c r="BR54" t="s">
        <v>100</v>
      </c>
      <c r="BS54" t="s">
        <v>1090</v>
      </c>
      <c r="BT54" t="str">
        <f>HYPERLINK("https%3A%2F%2Fwww.webofscience.com%2Fwos%2Fwoscc%2Ffull-record%2FWOS:000262474300029","View Full Record in Web of Science")</f>
        <v>View Full Record in Web of Science</v>
      </c>
    </row>
    <row r="55" spans="1:72" x14ac:dyDescent="0.15">
      <c r="A55" t="s">
        <v>816</v>
      </c>
      <c r="B55" t="s">
        <v>1091</v>
      </c>
      <c r="C55" t="s">
        <v>74</v>
      </c>
      <c r="D55" t="s">
        <v>1008</v>
      </c>
      <c r="E55" t="s">
        <v>74</v>
      </c>
      <c r="F55" t="s">
        <v>1092</v>
      </c>
      <c r="G55" t="s">
        <v>74</v>
      </c>
      <c r="H55" t="s">
        <v>1093</v>
      </c>
      <c r="I55" t="s">
        <v>1094</v>
      </c>
      <c r="J55" t="s">
        <v>1043</v>
      </c>
      <c r="K55" t="s">
        <v>1044</v>
      </c>
      <c r="L55" t="s">
        <v>74</v>
      </c>
      <c r="M55" t="s">
        <v>78</v>
      </c>
      <c r="N55" t="s">
        <v>823</v>
      </c>
      <c r="O55" t="s">
        <v>1013</v>
      </c>
      <c r="P55" t="s">
        <v>1014</v>
      </c>
      <c r="Q55" t="s">
        <v>1015</v>
      </c>
      <c r="R55" t="s">
        <v>74</v>
      </c>
      <c r="S55" t="s">
        <v>74</v>
      </c>
      <c r="T55" t="s">
        <v>74</v>
      </c>
      <c r="U55" t="s">
        <v>1095</v>
      </c>
      <c r="V55" t="s">
        <v>1096</v>
      </c>
      <c r="W55" t="s">
        <v>1097</v>
      </c>
      <c r="X55" t="s">
        <v>1098</v>
      </c>
      <c r="Y55" t="s">
        <v>1099</v>
      </c>
      <c r="Z55" t="s">
        <v>74</v>
      </c>
      <c r="AA55" t="s">
        <v>1100</v>
      </c>
      <c r="AB55" t="s">
        <v>1101</v>
      </c>
      <c r="AC55" t="s">
        <v>74</v>
      </c>
      <c r="AD55" t="s">
        <v>74</v>
      </c>
      <c r="AE55" t="s">
        <v>74</v>
      </c>
      <c r="AF55" t="s">
        <v>74</v>
      </c>
      <c r="AG55">
        <v>15</v>
      </c>
      <c r="AH55">
        <v>2</v>
      </c>
      <c r="AI55">
        <v>2</v>
      </c>
      <c r="AJ55">
        <v>0</v>
      </c>
      <c r="AK55">
        <v>0</v>
      </c>
      <c r="AL55" t="s">
        <v>1022</v>
      </c>
      <c r="AM55" t="s">
        <v>1023</v>
      </c>
      <c r="AN55" t="s">
        <v>1024</v>
      </c>
      <c r="AO55" t="s">
        <v>1025</v>
      </c>
      <c r="AP55" t="s">
        <v>74</v>
      </c>
      <c r="AQ55" t="s">
        <v>1026</v>
      </c>
      <c r="AR55" t="s">
        <v>1027</v>
      </c>
      <c r="AS55" t="s">
        <v>74</v>
      </c>
      <c r="AT55" t="s">
        <v>74</v>
      </c>
      <c r="AU55">
        <v>2008</v>
      </c>
      <c r="AV55">
        <v>33</v>
      </c>
      <c r="AW55" t="s">
        <v>74</v>
      </c>
      <c r="AX55" t="s">
        <v>74</v>
      </c>
      <c r="AY55" t="s">
        <v>74</v>
      </c>
      <c r="AZ55" t="s">
        <v>74</v>
      </c>
      <c r="BA55" t="s">
        <v>74</v>
      </c>
      <c r="BB55">
        <v>239</v>
      </c>
      <c r="BC55">
        <v>242</v>
      </c>
      <c r="BD55" t="s">
        <v>74</v>
      </c>
      <c r="BE55" t="s">
        <v>1102</v>
      </c>
      <c r="BF55" t="str">
        <f>HYPERLINK("http://dx.doi.org/10.1051/eas:0833031","http://dx.doi.org/10.1051/eas:0833031")</f>
        <v>http://dx.doi.org/10.1051/eas:0833031</v>
      </c>
      <c r="BG55" t="s">
        <v>74</v>
      </c>
      <c r="BH55" t="s">
        <v>74</v>
      </c>
      <c r="BI55">
        <v>4</v>
      </c>
      <c r="BJ55" t="s">
        <v>351</v>
      </c>
      <c r="BK55" t="s">
        <v>842</v>
      </c>
      <c r="BL55" t="s">
        <v>351</v>
      </c>
      <c r="BM55" t="s">
        <v>1029</v>
      </c>
      <c r="BN55" t="s">
        <v>74</v>
      </c>
      <c r="BO55" t="s">
        <v>74</v>
      </c>
      <c r="BP55" t="s">
        <v>74</v>
      </c>
      <c r="BQ55" t="s">
        <v>74</v>
      </c>
      <c r="BR55" t="s">
        <v>100</v>
      </c>
      <c r="BS55" t="s">
        <v>1103</v>
      </c>
      <c r="BT55" t="str">
        <f>HYPERLINK("https%3A%2F%2Fwww.webofscience.com%2Fwos%2Fwoscc%2Ffull-record%2FWOS:000262474300030","View Full Record in Web of Science")</f>
        <v>View Full Record in Web of Science</v>
      </c>
    </row>
    <row r="56" spans="1:72" x14ac:dyDescent="0.15">
      <c r="A56" t="s">
        <v>816</v>
      </c>
      <c r="B56" t="s">
        <v>1104</v>
      </c>
      <c r="C56" t="s">
        <v>74</v>
      </c>
      <c r="D56" t="s">
        <v>1008</v>
      </c>
      <c r="E56" t="s">
        <v>74</v>
      </c>
      <c r="F56" t="s">
        <v>1105</v>
      </c>
      <c r="G56" t="s">
        <v>74</v>
      </c>
      <c r="H56" t="s">
        <v>1106</v>
      </c>
      <c r="I56" t="s">
        <v>1107</v>
      </c>
      <c r="J56" t="s">
        <v>1011</v>
      </c>
      <c r="K56" t="s">
        <v>1012</v>
      </c>
      <c r="L56" t="s">
        <v>74</v>
      </c>
      <c r="M56" t="s">
        <v>78</v>
      </c>
      <c r="N56" t="s">
        <v>823</v>
      </c>
      <c r="O56" t="s">
        <v>1013</v>
      </c>
      <c r="P56" t="s">
        <v>1014</v>
      </c>
      <c r="Q56" t="s">
        <v>1015</v>
      </c>
      <c r="R56" t="s">
        <v>74</v>
      </c>
      <c r="S56" t="s">
        <v>74</v>
      </c>
      <c r="T56" t="s">
        <v>74</v>
      </c>
      <c r="U56" t="s">
        <v>1108</v>
      </c>
      <c r="V56" t="s">
        <v>1109</v>
      </c>
      <c r="W56" t="s">
        <v>1110</v>
      </c>
      <c r="X56" t="s">
        <v>1111</v>
      </c>
      <c r="Y56" t="s">
        <v>1112</v>
      </c>
      <c r="Z56" t="s">
        <v>1113</v>
      </c>
      <c r="AA56" t="s">
        <v>1114</v>
      </c>
      <c r="AB56" t="s">
        <v>1115</v>
      </c>
      <c r="AC56" t="s">
        <v>74</v>
      </c>
      <c r="AD56" t="s">
        <v>74</v>
      </c>
      <c r="AE56" t="s">
        <v>74</v>
      </c>
      <c r="AF56" t="s">
        <v>74</v>
      </c>
      <c r="AG56">
        <v>7</v>
      </c>
      <c r="AH56">
        <v>3</v>
      </c>
      <c r="AI56">
        <v>3</v>
      </c>
      <c r="AJ56">
        <v>0</v>
      </c>
      <c r="AK56">
        <v>0</v>
      </c>
      <c r="AL56" t="s">
        <v>1022</v>
      </c>
      <c r="AM56" t="s">
        <v>1023</v>
      </c>
      <c r="AN56" t="s">
        <v>1024</v>
      </c>
      <c r="AO56" t="s">
        <v>1025</v>
      </c>
      <c r="AP56" t="s">
        <v>74</v>
      </c>
      <c r="AQ56" t="s">
        <v>1026</v>
      </c>
      <c r="AR56" t="s">
        <v>1027</v>
      </c>
      <c r="AS56" t="s">
        <v>74</v>
      </c>
      <c r="AT56" t="s">
        <v>74</v>
      </c>
      <c r="AU56">
        <v>2008</v>
      </c>
      <c r="AV56">
        <v>33</v>
      </c>
      <c r="AW56" t="s">
        <v>74</v>
      </c>
      <c r="AX56" t="s">
        <v>74</v>
      </c>
      <c r="AY56" t="s">
        <v>74</v>
      </c>
      <c r="AZ56" t="s">
        <v>74</v>
      </c>
      <c r="BA56" t="s">
        <v>74</v>
      </c>
      <c r="BB56">
        <v>243</v>
      </c>
      <c r="BC56">
        <v>247</v>
      </c>
      <c r="BD56" t="s">
        <v>74</v>
      </c>
      <c r="BE56" t="s">
        <v>1116</v>
      </c>
      <c r="BF56" t="str">
        <f>HYPERLINK("http://dx.doi.org/10.1051/eas:0833032","http://dx.doi.org/10.1051/eas:0833032")</f>
        <v>http://dx.doi.org/10.1051/eas:0833032</v>
      </c>
      <c r="BG56" t="s">
        <v>74</v>
      </c>
      <c r="BH56" t="s">
        <v>74</v>
      </c>
      <c r="BI56">
        <v>5</v>
      </c>
      <c r="BJ56" t="s">
        <v>351</v>
      </c>
      <c r="BK56" t="s">
        <v>842</v>
      </c>
      <c r="BL56" t="s">
        <v>351</v>
      </c>
      <c r="BM56" t="s">
        <v>1029</v>
      </c>
      <c r="BN56" t="s">
        <v>74</v>
      </c>
      <c r="BO56" t="s">
        <v>74</v>
      </c>
      <c r="BP56" t="s">
        <v>74</v>
      </c>
      <c r="BQ56" t="s">
        <v>74</v>
      </c>
      <c r="BR56" t="s">
        <v>100</v>
      </c>
      <c r="BS56" t="s">
        <v>1117</v>
      </c>
      <c r="BT56" t="str">
        <f>HYPERLINK("https%3A%2F%2Fwww.webofscience.com%2Fwos%2Fwoscc%2Ffull-record%2FWOS:000262474300031","View Full Record in Web of Science")</f>
        <v>View Full Record in Web of Science</v>
      </c>
    </row>
    <row r="57" spans="1:72" x14ac:dyDescent="0.15">
      <c r="A57" t="s">
        <v>816</v>
      </c>
      <c r="B57" t="s">
        <v>1118</v>
      </c>
      <c r="C57" t="s">
        <v>74</v>
      </c>
      <c r="D57" t="s">
        <v>1008</v>
      </c>
      <c r="E57" t="s">
        <v>74</v>
      </c>
      <c r="F57" t="s">
        <v>1119</v>
      </c>
      <c r="G57" t="s">
        <v>74</v>
      </c>
      <c r="H57" t="s">
        <v>74</v>
      </c>
      <c r="I57" t="s">
        <v>1120</v>
      </c>
      <c r="J57" t="s">
        <v>1043</v>
      </c>
      <c r="K57" t="s">
        <v>1044</v>
      </c>
      <c r="L57" t="s">
        <v>74</v>
      </c>
      <c r="M57" t="s">
        <v>78</v>
      </c>
      <c r="N57" t="s">
        <v>823</v>
      </c>
      <c r="O57" t="s">
        <v>1013</v>
      </c>
      <c r="P57" t="s">
        <v>1014</v>
      </c>
      <c r="Q57" t="s">
        <v>1015</v>
      </c>
      <c r="R57" t="s">
        <v>74</v>
      </c>
      <c r="S57" t="s">
        <v>74</v>
      </c>
      <c r="T57" t="s">
        <v>74</v>
      </c>
      <c r="U57" t="s">
        <v>1121</v>
      </c>
      <c r="V57" t="s">
        <v>1122</v>
      </c>
      <c r="W57" t="s">
        <v>1123</v>
      </c>
      <c r="X57" t="s">
        <v>1124</v>
      </c>
      <c r="Y57" t="s">
        <v>1125</v>
      </c>
      <c r="Z57" t="s">
        <v>74</v>
      </c>
      <c r="AA57" t="s">
        <v>1126</v>
      </c>
      <c r="AB57" t="s">
        <v>1127</v>
      </c>
      <c r="AC57" t="s">
        <v>74</v>
      </c>
      <c r="AD57" t="s">
        <v>74</v>
      </c>
      <c r="AE57" t="s">
        <v>74</v>
      </c>
      <c r="AF57" t="s">
        <v>74</v>
      </c>
      <c r="AG57">
        <v>6</v>
      </c>
      <c r="AH57">
        <v>1</v>
      </c>
      <c r="AI57">
        <v>1</v>
      </c>
      <c r="AJ57">
        <v>0</v>
      </c>
      <c r="AK57">
        <v>0</v>
      </c>
      <c r="AL57" t="s">
        <v>1022</v>
      </c>
      <c r="AM57" t="s">
        <v>1023</v>
      </c>
      <c r="AN57" t="s">
        <v>1024</v>
      </c>
      <c r="AO57" t="s">
        <v>1025</v>
      </c>
      <c r="AP57" t="s">
        <v>74</v>
      </c>
      <c r="AQ57" t="s">
        <v>1026</v>
      </c>
      <c r="AR57" t="s">
        <v>1027</v>
      </c>
      <c r="AS57" t="s">
        <v>74</v>
      </c>
      <c r="AT57" t="s">
        <v>74</v>
      </c>
      <c r="AU57">
        <v>2008</v>
      </c>
      <c r="AV57">
        <v>33</v>
      </c>
      <c r="AW57" t="s">
        <v>74</v>
      </c>
      <c r="AX57" t="s">
        <v>74</v>
      </c>
      <c r="AY57" t="s">
        <v>74</v>
      </c>
      <c r="AZ57" t="s">
        <v>74</v>
      </c>
      <c r="BA57" t="s">
        <v>74</v>
      </c>
      <c r="BB57">
        <v>267</v>
      </c>
      <c r="BC57">
        <v>270</v>
      </c>
      <c r="BD57" t="s">
        <v>74</v>
      </c>
      <c r="BE57" t="s">
        <v>1128</v>
      </c>
      <c r="BF57" t="str">
        <f>HYPERLINK("http://dx.doi.org/10.1051/eas:0833037","http://dx.doi.org/10.1051/eas:0833037")</f>
        <v>http://dx.doi.org/10.1051/eas:0833037</v>
      </c>
      <c r="BG57" t="s">
        <v>74</v>
      </c>
      <c r="BH57" t="s">
        <v>74</v>
      </c>
      <c r="BI57">
        <v>4</v>
      </c>
      <c r="BJ57" t="s">
        <v>351</v>
      </c>
      <c r="BK57" t="s">
        <v>842</v>
      </c>
      <c r="BL57" t="s">
        <v>351</v>
      </c>
      <c r="BM57" t="s">
        <v>1029</v>
      </c>
      <c r="BN57" t="s">
        <v>74</v>
      </c>
      <c r="BO57" t="s">
        <v>74</v>
      </c>
      <c r="BP57" t="s">
        <v>74</v>
      </c>
      <c r="BQ57" t="s">
        <v>74</v>
      </c>
      <c r="BR57" t="s">
        <v>100</v>
      </c>
      <c r="BS57" t="s">
        <v>1129</v>
      </c>
      <c r="BT57" t="str">
        <f>HYPERLINK("https%3A%2F%2Fwww.webofscience.com%2Fwos%2Fwoscc%2Ffull-record%2FWOS:000262474300036","View Full Record in Web of Science")</f>
        <v>View Full Record in Web of Science</v>
      </c>
    </row>
    <row r="58" spans="1:72" x14ac:dyDescent="0.15">
      <c r="A58" t="s">
        <v>816</v>
      </c>
      <c r="B58" t="s">
        <v>1130</v>
      </c>
      <c r="C58" t="s">
        <v>74</v>
      </c>
      <c r="D58" t="s">
        <v>1008</v>
      </c>
      <c r="E58" t="s">
        <v>74</v>
      </c>
      <c r="F58" t="s">
        <v>1131</v>
      </c>
      <c r="G58" t="s">
        <v>74</v>
      </c>
      <c r="H58" t="s">
        <v>74</v>
      </c>
      <c r="I58" t="s">
        <v>1132</v>
      </c>
      <c r="J58" t="s">
        <v>1011</v>
      </c>
      <c r="K58" t="s">
        <v>1012</v>
      </c>
      <c r="L58" t="s">
        <v>74</v>
      </c>
      <c r="M58" t="s">
        <v>78</v>
      </c>
      <c r="N58" t="s">
        <v>823</v>
      </c>
      <c r="O58" t="s">
        <v>1013</v>
      </c>
      <c r="P58" t="s">
        <v>1014</v>
      </c>
      <c r="Q58" t="s">
        <v>1015</v>
      </c>
      <c r="R58" t="s">
        <v>74</v>
      </c>
      <c r="S58" t="s">
        <v>74</v>
      </c>
      <c r="T58" t="s">
        <v>74</v>
      </c>
      <c r="U58" t="s">
        <v>74</v>
      </c>
      <c r="V58" t="s">
        <v>1133</v>
      </c>
      <c r="W58" t="s">
        <v>1134</v>
      </c>
      <c r="X58" t="s">
        <v>1135</v>
      </c>
      <c r="Y58" t="s">
        <v>1136</v>
      </c>
      <c r="Z58" t="s">
        <v>74</v>
      </c>
      <c r="AA58" t="s">
        <v>1137</v>
      </c>
      <c r="AB58" t="s">
        <v>1138</v>
      </c>
      <c r="AC58" t="s">
        <v>74</v>
      </c>
      <c r="AD58" t="s">
        <v>74</v>
      </c>
      <c r="AE58" t="s">
        <v>74</v>
      </c>
      <c r="AF58" t="s">
        <v>74</v>
      </c>
      <c r="AG58">
        <v>4</v>
      </c>
      <c r="AH58">
        <v>5</v>
      </c>
      <c r="AI58">
        <v>5</v>
      </c>
      <c r="AJ58">
        <v>0</v>
      </c>
      <c r="AK58">
        <v>0</v>
      </c>
      <c r="AL58" t="s">
        <v>1022</v>
      </c>
      <c r="AM58" t="s">
        <v>1023</v>
      </c>
      <c r="AN58" t="s">
        <v>1024</v>
      </c>
      <c r="AO58" t="s">
        <v>1025</v>
      </c>
      <c r="AP58" t="s">
        <v>74</v>
      </c>
      <c r="AQ58" t="s">
        <v>1026</v>
      </c>
      <c r="AR58" t="s">
        <v>1027</v>
      </c>
      <c r="AS58" t="s">
        <v>74</v>
      </c>
      <c r="AT58" t="s">
        <v>74</v>
      </c>
      <c r="AU58">
        <v>2008</v>
      </c>
      <c r="AV58">
        <v>33</v>
      </c>
      <c r="AW58" t="s">
        <v>74</v>
      </c>
      <c r="AX58" t="s">
        <v>74</v>
      </c>
      <c r="AY58" t="s">
        <v>74</v>
      </c>
      <c r="AZ58" t="s">
        <v>74</v>
      </c>
      <c r="BA58" t="s">
        <v>74</v>
      </c>
      <c r="BB58">
        <v>271</v>
      </c>
      <c r="BC58">
        <v>274</v>
      </c>
      <c r="BD58" t="s">
        <v>74</v>
      </c>
      <c r="BE58" t="s">
        <v>1139</v>
      </c>
      <c r="BF58" t="str">
        <f>HYPERLINK("http://dx.doi.org/10.1051/eas:0833038","http://dx.doi.org/10.1051/eas:0833038")</f>
        <v>http://dx.doi.org/10.1051/eas:0833038</v>
      </c>
      <c r="BG58" t="s">
        <v>74</v>
      </c>
      <c r="BH58" t="s">
        <v>74</v>
      </c>
      <c r="BI58">
        <v>4</v>
      </c>
      <c r="BJ58" t="s">
        <v>351</v>
      </c>
      <c r="BK58" t="s">
        <v>842</v>
      </c>
      <c r="BL58" t="s">
        <v>351</v>
      </c>
      <c r="BM58" t="s">
        <v>1029</v>
      </c>
      <c r="BN58" t="s">
        <v>74</v>
      </c>
      <c r="BO58" t="s">
        <v>74</v>
      </c>
      <c r="BP58" t="s">
        <v>74</v>
      </c>
      <c r="BQ58" t="s">
        <v>74</v>
      </c>
      <c r="BR58" t="s">
        <v>100</v>
      </c>
      <c r="BS58" t="s">
        <v>1140</v>
      </c>
      <c r="BT58" t="str">
        <f>HYPERLINK("https%3A%2F%2Fwww.webofscience.com%2Fwos%2Fwoscc%2Ffull-record%2FWOS:000262474300037","View Full Record in Web of Science")</f>
        <v>View Full Record in Web of Science</v>
      </c>
    </row>
    <row r="59" spans="1:72" x14ac:dyDescent="0.15">
      <c r="A59" t="s">
        <v>816</v>
      </c>
      <c r="B59" t="s">
        <v>1141</v>
      </c>
      <c r="C59" t="s">
        <v>74</v>
      </c>
      <c r="D59" t="s">
        <v>1008</v>
      </c>
      <c r="E59" t="s">
        <v>74</v>
      </c>
      <c r="F59" t="s">
        <v>1142</v>
      </c>
      <c r="G59" t="s">
        <v>74</v>
      </c>
      <c r="H59" t="s">
        <v>74</v>
      </c>
      <c r="I59" t="s">
        <v>1143</v>
      </c>
      <c r="J59" t="s">
        <v>1011</v>
      </c>
      <c r="K59" t="s">
        <v>1012</v>
      </c>
      <c r="L59" t="s">
        <v>74</v>
      </c>
      <c r="M59" t="s">
        <v>78</v>
      </c>
      <c r="N59" t="s">
        <v>823</v>
      </c>
      <c r="O59" t="s">
        <v>1013</v>
      </c>
      <c r="P59" t="s">
        <v>1014</v>
      </c>
      <c r="Q59" t="s">
        <v>1015</v>
      </c>
      <c r="R59" t="s">
        <v>74</v>
      </c>
      <c r="S59" t="s">
        <v>74</v>
      </c>
      <c r="T59" t="s">
        <v>74</v>
      </c>
      <c r="U59" t="s">
        <v>74</v>
      </c>
      <c r="V59" t="s">
        <v>1144</v>
      </c>
      <c r="W59" t="s">
        <v>1145</v>
      </c>
      <c r="X59" t="s">
        <v>1124</v>
      </c>
      <c r="Y59" t="s">
        <v>1146</v>
      </c>
      <c r="Z59" t="s">
        <v>74</v>
      </c>
      <c r="AA59" t="s">
        <v>1114</v>
      </c>
      <c r="AB59" t="s">
        <v>1115</v>
      </c>
      <c r="AC59" t="s">
        <v>74</v>
      </c>
      <c r="AD59" t="s">
        <v>74</v>
      </c>
      <c r="AE59" t="s">
        <v>74</v>
      </c>
      <c r="AF59" t="s">
        <v>74</v>
      </c>
      <c r="AG59">
        <v>3</v>
      </c>
      <c r="AH59">
        <v>0</v>
      </c>
      <c r="AI59">
        <v>0</v>
      </c>
      <c r="AJ59">
        <v>0</v>
      </c>
      <c r="AK59">
        <v>0</v>
      </c>
      <c r="AL59" t="s">
        <v>1022</v>
      </c>
      <c r="AM59" t="s">
        <v>1023</v>
      </c>
      <c r="AN59" t="s">
        <v>1024</v>
      </c>
      <c r="AO59" t="s">
        <v>1025</v>
      </c>
      <c r="AP59" t="s">
        <v>74</v>
      </c>
      <c r="AQ59" t="s">
        <v>1026</v>
      </c>
      <c r="AR59" t="s">
        <v>1027</v>
      </c>
      <c r="AS59" t="s">
        <v>74</v>
      </c>
      <c r="AT59" t="s">
        <v>74</v>
      </c>
      <c r="AU59">
        <v>2008</v>
      </c>
      <c r="AV59">
        <v>33</v>
      </c>
      <c r="AW59" t="s">
        <v>74</v>
      </c>
      <c r="AX59" t="s">
        <v>74</v>
      </c>
      <c r="AY59" t="s">
        <v>74</v>
      </c>
      <c r="AZ59" t="s">
        <v>74</v>
      </c>
      <c r="BA59" t="s">
        <v>74</v>
      </c>
      <c r="BB59">
        <v>279</v>
      </c>
      <c r="BC59">
        <v>283</v>
      </c>
      <c r="BD59" t="s">
        <v>74</v>
      </c>
      <c r="BE59" t="s">
        <v>1147</v>
      </c>
      <c r="BF59" t="str">
        <f>HYPERLINK("http://dx.doi.org/10.1051/eas:0833040","http://dx.doi.org/10.1051/eas:0833040")</f>
        <v>http://dx.doi.org/10.1051/eas:0833040</v>
      </c>
      <c r="BG59" t="s">
        <v>74</v>
      </c>
      <c r="BH59" t="s">
        <v>74</v>
      </c>
      <c r="BI59">
        <v>5</v>
      </c>
      <c r="BJ59" t="s">
        <v>351</v>
      </c>
      <c r="BK59" t="s">
        <v>842</v>
      </c>
      <c r="BL59" t="s">
        <v>351</v>
      </c>
      <c r="BM59" t="s">
        <v>1029</v>
      </c>
      <c r="BN59" t="s">
        <v>74</v>
      </c>
      <c r="BO59" t="s">
        <v>74</v>
      </c>
      <c r="BP59" t="s">
        <v>74</v>
      </c>
      <c r="BQ59" t="s">
        <v>74</v>
      </c>
      <c r="BR59" t="s">
        <v>100</v>
      </c>
      <c r="BS59" t="s">
        <v>1148</v>
      </c>
      <c r="BT59" t="str">
        <f>HYPERLINK("https%3A%2F%2Fwww.webofscience.com%2Fwos%2Fwoscc%2Ffull-record%2FWOS:000262474300039","View Full Record in Web of Science")</f>
        <v>View Full Record in Web of Science</v>
      </c>
    </row>
    <row r="60" spans="1:72" x14ac:dyDescent="0.15">
      <c r="A60" t="s">
        <v>816</v>
      </c>
      <c r="B60" t="s">
        <v>1149</v>
      </c>
      <c r="C60" t="s">
        <v>74</v>
      </c>
      <c r="D60" t="s">
        <v>1008</v>
      </c>
      <c r="E60" t="s">
        <v>74</v>
      </c>
      <c r="F60" t="s">
        <v>1150</v>
      </c>
      <c r="G60" t="s">
        <v>74</v>
      </c>
      <c r="H60" t="s">
        <v>74</v>
      </c>
      <c r="I60" t="s">
        <v>1151</v>
      </c>
      <c r="J60" t="s">
        <v>1011</v>
      </c>
      <c r="K60" t="s">
        <v>1012</v>
      </c>
      <c r="L60" t="s">
        <v>74</v>
      </c>
      <c r="M60" t="s">
        <v>78</v>
      </c>
      <c r="N60" t="s">
        <v>823</v>
      </c>
      <c r="O60" t="s">
        <v>1013</v>
      </c>
      <c r="P60" t="s">
        <v>1014</v>
      </c>
      <c r="Q60" t="s">
        <v>1015</v>
      </c>
      <c r="R60" t="s">
        <v>74</v>
      </c>
      <c r="S60" t="s">
        <v>74</v>
      </c>
      <c r="T60" t="s">
        <v>74</v>
      </c>
      <c r="U60" t="s">
        <v>74</v>
      </c>
      <c r="V60" t="s">
        <v>1152</v>
      </c>
      <c r="W60" t="s">
        <v>1153</v>
      </c>
      <c r="X60" t="s">
        <v>1111</v>
      </c>
      <c r="Y60" t="s">
        <v>1112</v>
      </c>
      <c r="Z60" t="s">
        <v>1154</v>
      </c>
      <c r="AA60" t="s">
        <v>74</v>
      </c>
      <c r="AB60" t="s">
        <v>1155</v>
      </c>
      <c r="AC60" t="s">
        <v>74</v>
      </c>
      <c r="AD60" t="s">
        <v>74</v>
      </c>
      <c r="AE60" t="s">
        <v>74</v>
      </c>
      <c r="AF60" t="s">
        <v>74</v>
      </c>
      <c r="AG60">
        <v>4</v>
      </c>
      <c r="AH60">
        <v>3</v>
      </c>
      <c r="AI60">
        <v>3</v>
      </c>
      <c r="AJ60">
        <v>0</v>
      </c>
      <c r="AK60">
        <v>1</v>
      </c>
      <c r="AL60" t="s">
        <v>1022</v>
      </c>
      <c r="AM60" t="s">
        <v>1023</v>
      </c>
      <c r="AN60" t="s">
        <v>1024</v>
      </c>
      <c r="AO60" t="s">
        <v>1025</v>
      </c>
      <c r="AP60" t="s">
        <v>74</v>
      </c>
      <c r="AQ60" t="s">
        <v>1026</v>
      </c>
      <c r="AR60" t="s">
        <v>1027</v>
      </c>
      <c r="AS60" t="s">
        <v>74</v>
      </c>
      <c r="AT60" t="s">
        <v>74</v>
      </c>
      <c r="AU60">
        <v>2008</v>
      </c>
      <c r="AV60">
        <v>33</v>
      </c>
      <c r="AW60" t="s">
        <v>74</v>
      </c>
      <c r="AX60" t="s">
        <v>74</v>
      </c>
      <c r="AY60" t="s">
        <v>74</v>
      </c>
      <c r="AZ60" t="s">
        <v>74</v>
      </c>
      <c r="BA60" t="s">
        <v>74</v>
      </c>
      <c r="BB60">
        <v>297</v>
      </c>
      <c r="BC60">
        <v>300</v>
      </c>
      <c r="BD60" t="s">
        <v>74</v>
      </c>
      <c r="BE60" t="s">
        <v>1156</v>
      </c>
      <c r="BF60" t="str">
        <f>HYPERLINK("http://dx.doi.org/10.1051/eas:0833044","http://dx.doi.org/10.1051/eas:0833044")</f>
        <v>http://dx.doi.org/10.1051/eas:0833044</v>
      </c>
      <c r="BG60" t="s">
        <v>74</v>
      </c>
      <c r="BH60" t="s">
        <v>74</v>
      </c>
      <c r="BI60">
        <v>4</v>
      </c>
      <c r="BJ60" t="s">
        <v>351</v>
      </c>
      <c r="BK60" t="s">
        <v>842</v>
      </c>
      <c r="BL60" t="s">
        <v>351</v>
      </c>
      <c r="BM60" t="s">
        <v>1029</v>
      </c>
      <c r="BN60" t="s">
        <v>74</v>
      </c>
      <c r="BO60" t="s">
        <v>74</v>
      </c>
      <c r="BP60" t="s">
        <v>74</v>
      </c>
      <c r="BQ60" t="s">
        <v>74</v>
      </c>
      <c r="BR60" t="s">
        <v>100</v>
      </c>
      <c r="BS60" t="s">
        <v>1157</v>
      </c>
      <c r="BT60" t="str">
        <f>HYPERLINK("https%3A%2F%2Fwww.webofscience.com%2Fwos%2Fwoscc%2Ffull-record%2FWOS:000262474300043","View Full Record in Web of Science")</f>
        <v>View Full Record in Web of Science</v>
      </c>
    </row>
    <row r="61" spans="1:72" x14ac:dyDescent="0.15">
      <c r="A61" t="s">
        <v>816</v>
      </c>
      <c r="B61" t="s">
        <v>1158</v>
      </c>
      <c r="C61" t="s">
        <v>74</v>
      </c>
      <c r="D61" t="s">
        <v>1008</v>
      </c>
      <c r="E61" t="s">
        <v>74</v>
      </c>
      <c r="F61" t="s">
        <v>1159</v>
      </c>
      <c r="G61" t="s">
        <v>74</v>
      </c>
      <c r="H61" t="s">
        <v>74</v>
      </c>
      <c r="I61" t="s">
        <v>1160</v>
      </c>
      <c r="J61" t="s">
        <v>1043</v>
      </c>
      <c r="K61" t="s">
        <v>1044</v>
      </c>
      <c r="L61" t="s">
        <v>74</v>
      </c>
      <c r="M61" t="s">
        <v>78</v>
      </c>
      <c r="N61" t="s">
        <v>823</v>
      </c>
      <c r="O61" t="s">
        <v>1013</v>
      </c>
      <c r="P61" t="s">
        <v>1014</v>
      </c>
      <c r="Q61" t="s">
        <v>1015</v>
      </c>
      <c r="R61" t="s">
        <v>74</v>
      </c>
      <c r="S61" t="s">
        <v>74</v>
      </c>
      <c r="T61" t="s">
        <v>74</v>
      </c>
      <c r="U61" t="s">
        <v>1121</v>
      </c>
      <c r="V61" t="s">
        <v>1161</v>
      </c>
      <c r="W61" t="s">
        <v>1162</v>
      </c>
      <c r="X61" t="s">
        <v>1163</v>
      </c>
      <c r="Y61" t="s">
        <v>1164</v>
      </c>
      <c r="Z61" t="s">
        <v>1165</v>
      </c>
      <c r="AA61" t="s">
        <v>1166</v>
      </c>
      <c r="AB61" t="s">
        <v>1167</v>
      </c>
      <c r="AC61" t="s">
        <v>74</v>
      </c>
      <c r="AD61" t="s">
        <v>74</v>
      </c>
      <c r="AE61" t="s">
        <v>74</v>
      </c>
      <c r="AF61" t="s">
        <v>74</v>
      </c>
      <c r="AG61">
        <v>11</v>
      </c>
      <c r="AH61">
        <v>5</v>
      </c>
      <c r="AI61">
        <v>5</v>
      </c>
      <c r="AJ61">
        <v>0</v>
      </c>
      <c r="AK61">
        <v>2</v>
      </c>
      <c r="AL61" t="s">
        <v>1022</v>
      </c>
      <c r="AM61" t="s">
        <v>1023</v>
      </c>
      <c r="AN61" t="s">
        <v>1024</v>
      </c>
      <c r="AO61" t="s">
        <v>1025</v>
      </c>
      <c r="AP61" t="s">
        <v>74</v>
      </c>
      <c r="AQ61" t="s">
        <v>1026</v>
      </c>
      <c r="AR61" t="s">
        <v>1027</v>
      </c>
      <c r="AS61" t="s">
        <v>74</v>
      </c>
      <c r="AT61" t="s">
        <v>74</v>
      </c>
      <c r="AU61">
        <v>2008</v>
      </c>
      <c r="AV61">
        <v>33</v>
      </c>
      <c r="AW61" t="s">
        <v>74</v>
      </c>
      <c r="AX61" t="s">
        <v>74</v>
      </c>
      <c r="AY61" t="s">
        <v>74</v>
      </c>
      <c r="AZ61" t="s">
        <v>74</v>
      </c>
      <c r="BA61" t="s">
        <v>74</v>
      </c>
      <c r="BB61">
        <v>301</v>
      </c>
      <c r="BC61" t="s">
        <v>865</v>
      </c>
      <c r="BD61" t="s">
        <v>74</v>
      </c>
      <c r="BE61" t="s">
        <v>1168</v>
      </c>
      <c r="BF61" t="str">
        <f>HYPERLINK("http://dx.doi.org/10.1051/eas:0833045","http://dx.doi.org/10.1051/eas:0833045")</f>
        <v>http://dx.doi.org/10.1051/eas:0833045</v>
      </c>
      <c r="BG61" t="s">
        <v>74</v>
      </c>
      <c r="BH61" t="s">
        <v>74</v>
      </c>
      <c r="BI61">
        <v>2</v>
      </c>
      <c r="BJ61" t="s">
        <v>351</v>
      </c>
      <c r="BK61" t="s">
        <v>842</v>
      </c>
      <c r="BL61" t="s">
        <v>351</v>
      </c>
      <c r="BM61" t="s">
        <v>1029</v>
      </c>
      <c r="BN61" t="s">
        <v>74</v>
      </c>
      <c r="BO61" t="s">
        <v>74</v>
      </c>
      <c r="BP61" t="s">
        <v>74</v>
      </c>
      <c r="BQ61" t="s">
        <v>74</v>
      </c>
      <c r="BR61" t="s">
        <v>100</v>
      </c>
      <c r="BS61" t="s">
        <v>1169</v>
      </c>
      <c r="BT61" t="str">
        <f>HYPERLINK("https%3A%2F%2Fwww.webofscience.com%2Fwos%2Fwoscc%2Ffull-record%2FWOS:000262474300044","View Full Record in Web of Science")</f>
        <v>View Full Record in Web of Science</v>
      </c>
    </row>
    <row r="62" spans="1:72" x14ac:dyDescent="0.15">
      <c r="A62" t="s">
        <v>816</v>
      </c>
      <c r="B62" t="s">
        <v>1008</v>
      </c>
      <c r="C62" t="s">
        <v>74</v>
      </c>
      <c r="D62" t="s">
        <v>1008</v>
      </c>
      <c r="E62" t="s">
        <v>74</v>
      </c>
      <c r="F62" t="s">
        <v>1170</v>
      </c>
      <c r="G62" t="s">
        <v>74</v>
      </c>
      <c r="H62" t="s">
        <v>74</v>
      </c>
      <c r="I62" t="s">
        <v>1171</v>
      </c>
      <c r="J62" t="s">
        <v>1011</v>
      </c>
      <c r="K62" t="s">
        <v>1012</v>
      </c>
      <c r="L62" t="s">
        <v>74</v>
      </c>
      <c r="M62" t="s">
        <v>78</v>
      </c>
      <c r="N62" t="s">
        <v>823</v>
      </c>
      <c r="O62" t="s">
        <v>1013</v>
      </c>
      <c r="P62" t="s">
        <v>1014</v>
      </c>
      <c r="Q62" t="s">
        <v>1015</v>
      </c>
      <c r="R62" t="s">
        <v>74</v>
      </c>
      <c r="S62" t="s">
        <v>74</v>
      </c>
      <c r="T62" t="s">
        <v>74</v>
      </c>
      <c r="U62" t="s">
        <v>74</v>
      </c>
      <c r="V62" t="s">
        <v>1172</v>
      </c>
      <c r="W62" t="s">
        <v>1173</v>
      </c>
      <c r="X62" t="s">
        <v>74</v>
      </c>
      <c r="Y62" t="s">
        <v>1174</v>
      </c>
      <c r="Z62" t="s">
        <v>74</v>
      </c>
      <c r="AA62" t="s">
        <v>74</v>
      </c>
      <c r="AB62" t="s">
        <v>74</v>
      </c>
      <c r="AC62" t="s">
        <v>74</v>
      </c>
      <c r="AD62" t="s">
        <v>74</v>
      </c>
      <c r="AE62" t="s">
        <v>74</v>
      </c>
      <c r="AF62" t="s">
        <v>74</v>
      </c>
      <c r="AG62">
        <v>3</v>
      </c>
      <c r="AH62">
        <v>1</v>
      </c>
      <c r="AI62">
        <v>1</v>
      </c>
      <c r="AJ62">
        <v>0</v>
      </c>
      <c r="AK62">
        <v>0</v>
      </c>
      <c r="AL62" t="s">
        <v>1022</v>
      </c>
      <c r="AM62" t="s">
        <v>1023</v>
      </c>
      <c r="AN62" t="s">
        <v>1024</v>
      </c>
      <c r="AO62" t="s">
        <v>1025</v>
      </c>
      <c r="AP62" t="s">
        <v>74</v>
      </c>
      <c r="AQ62" t="s">
        <v>1026</v>
      </c>
      <c r="AR62" t="s">
        <v>1027</v>
      </c>
      <c r="AS62" t="s">
        <v>74</v>
      </c>
      <c r="AT62" t="s">
        <v>74</v>
      </c>
      <c r="AU62">
        <v>2008</v>
      </c>
      <c r="AV62">
        <v>33</v>
      </c>
      <c r="AW62" t="s">
        <v>74</v>
      </c>
      <c r="AX62" t="s">
        <v>74</v>
      </c>
      <c r="AY62" t="s">
        <v>74</v>
      </c>
      <c r="AZ62" t="s">
        <v>74</v>
      </c>
      <c r="BA62" t="s">
        <v>74</v>
      </c>
      <c r="BB62">
        <v>313</v>
      </c>
      <c r="BC62">
        <v>316</v>
      </c>
      <c r="BD62" t="s">
        <v>74</v>
      </c>
      <c r="BE62" t="s">
        <v>1175</v>
      </c>
      <c r="BF62" t="str">
        <f>HYPERLINK("http://dx.doi.org/10.1051/eas:0833047","http://dx.doi.org/10.1051/eas:0833047")</f>
        <v>http://dx.doi.org/10.1051/eas:0833047</v>
      </c>
      <c r="BG62" t="s">
        <v>74</v>
      </c>
      <c r="BH62" t="s">
        <v>74</v>
      </c>
      <c r="BI62">
        <v>4</v>
      </c>
      <c r="BJ62" t="s">
        <v>351</v>
      </c>
      <c r="BK62" t="s">
        <v>842</v>
      </c>
      <c r="BL62" t="s">
        <v>351</v>
      </c>
      <c r="BM62" t="s">
        <v>1029</v>
      </c>
      <c r="BN62" t="s">
        <v>74</v>
      </c>
      <c r="BO62" t="s">
        <v>74</v>
      </c>
      <c r="BP62" t="s">
        <v>74</v>
      </c>
      <c r="BQ62" t="s">
        <v>74</v>
      </c>
      <c r="BR62" t="s">
        <v>100</v>
      </c>
      <c r="BS62" t="s">
        <v>1176</v>
      </c>
      <c r="BT62" t="str">
        <f>HYPERLINK("https%3A%2F%2Fwww.webofscience.com%2Fwos%2Fwoscc%2Ffull-record%2FWOS:000262474300046","View Full Record in Web of Science")</f>
        <v>View Full Record in Web of Science</v>
      </c>
    </row>
    <row r="63" spans="1:72" x14ac:dyDescent="0.15">
      <c r="A63" t="s">
        <v>816</v>
      </c>
      <c r="B63" t="s">
        <v>1177</v>
      </c>
      <c r="C63" t="s">
        <v>74</v>
      </c>
      <c r="D63" t="s">
        <v>1008</v>
      </c>
      <c r="E63" t="s">
        <v>74</v>
      </c>
      <c r="F63" t="s">
        <v>1178</v>
      </c>
      <c r="G63" t="s">
        <v>74</v>
      </c>
      <c r="H63" t="s">
        <v>74</v>
      </c>
      <c r="I63" t="s">
        <v>1179</v>
      </c>
      <c r="J63" t="s">
        <v>1043</v>
      </c>
      <c r="K63" t="s">
        <v>1044</v>
      </c>
      <c r="L63" t="s">
        <v>74</v>
      </c>
      <c r="M63" t="s">
        <v>78</v>
      </c>
      <c r="N63" t="s">
        <v>823</v>
      </c>
      <c r="O63" t="s">
        <v>1013</v>
      </c>
      <c r="P63" t="s">
        <v>1014</v>
      </c>
      <c r="Q63" t="s">
        <v>1015</v>
      </c>
      <c r="R63" t="s">
        <v>74</v>
      </c>
      <c r="S63" t="s">
        <v>74</v>
      </c>
      <c r="T63" t="s">
        <v>74</v>
      </c>
      <c r="U63" t="s">
        <v>74</v>
      </c>
      <c r="V63" t="s">
        <v>1180</v>
      </c>
      <c r="W63" t="s">
        <v>1181</v>
      </c>
      <c r="X63" t="s">
        <v>74</v>
      </c>
      <c r="Y63" t="s">
        <v>1182</v>
      </c>
      <c r="Z63" t="s">
        <v>74</v>
      </c>
      <c r="AA63" t="s">
        <v>74</v>
      </c>
      <c r="AB63" t="s">
        <v>74</v>
      </c>
      <c r="AC63" t="s">
        <v>74</v>
      </c>
      <c r="AD63" t="s">
        <v>74</v>
      </c>
      <c r="AE63" t="s">
        <v>74</v>
      </c>
      <c r="AF63" t="s">
        <v>74</v>
      </c>
      <c r="AG63">
        <v>13</v>
      </c>
      <c r="AH63">
        <v>0</v>
      </c>
      <c r="AI63">
        <v>0</v>
      </c>
      <c r="AJ63">
        <v>0</v>
      </c>
      <c r="AK63">
        <v>0</v>
      </c>
      <c r="AL63" t="s">
        <v>1022</v>
      </c>
      <c r="AM63" t="s">
        <v>1023</v>
      </c>
      <c r="AN63" t="s">
        <v>1024</v>
      </c>
      <c r="AO63" t="s">
        <v>1025</v>
      </c>
      <c r="AP63" t="s">
        <v>74</v>
      </c>
      <c r="AQ63" t="s">
        <v>1026</v>
      </c>
      <c r="AR63" t="s">
        <v>1027</v>
      </c>
      <c r="AS63" t="s">
        <v>74</v>
      </c>
      <c r="AT63" t="s">
        <v>74</v>
      </c>
      <c r="AU63">
        <v>2008</v>
      </c>
      <c r="AV63">
        <v>33</v>
      </c>
      <c r="AW63" t="s">
        <v>74</v>
      </c>
      <c r="AX63" t="s">
        <v>74</v>
      </c>
      <c r="AY63" t="s">
        <v>74</v>
      </c>
      <c r="AZ63" t="s">
        <v>74</v>
      </c>
      <c r="BA63" t="s">
        <v>74</v>
      </c>
      <c r="BB63">
        <v>317</v>
      </c>
      <c r="BC63">
        <v>324</v>
      </c>
      <c r="BD63" t="s">
        <v>74</v>
      </c>
      <c r="BE63" t="s">
        <v>1183</v>
      </c>
      <c r="BF63" t="str">
        <f>HYPERLINK("http://dx.doi.org/10.1051/eas:0833048","http://dx.doi.org/10.1051/eas:0833048")</f>
        <v>http://dx.doi.org/10.1051/eas:0833048</v>
      </c>
      <c r="BG63" t="s">
        <v>74</v>
      </c>
      <c r="BH63" t="s">
        <v>74</v>
      </c>
      <c r="BI63">
        <v>8</v>
      </c>
      <c r="BJ63" t="s">
        <v>351</v>
      </c>
      <c r="BK63" t="s">
        <v>842</v>
      </c>
      <c r="BL63" t="s">
        <v>351</v>
      </c>
      <c r="BM63" t="s">
        <v>1029</v>
      </c>
      <c r="BN63" t="s">
        <v>74</v>
      </c>
      <c r="BO63" t="s">
        <v>74</v>
      </c>
      <c r="BP63" t="s">
        <v>74</v>
      </c>
      <c r="BQ63" t="s">
        <v>74</v>
      </c>
      <c r="BR63" t="s">
        <v>100</v>
      </c>
      <c r="BS63" t="s">
        <v>1184</v>
      </c>
      <c r="BT63" t="str">
        <f>HYPERLINK("https%3A%2F%2Fwww.webofscience.com%2Fwos%2Fwoscc%2Ffull-record%2FWOS:000262474300047","View Full Record in Web of Science")</f>
        <v>View Full Record in Web of Science</v>
      </c>
    </row>
    <row r="64" spans="1:72" x14ac:dyDescent="0.15">
      <c r="A64" t="s">
        <v>72</v>
      </c>
      <c r="B64" t="s">
        <v>1185</v>
      </c>
      <c r="C64" t="s">
        <v>74</v>
      </c>
      <c r="D64" t="s">
        <v>74</v>
      </c>
      <c r="E64" t="s">
        <v>74</v>
      </c>
      <c r="F64" t="s">
        <v>1186</v>
      </c>
      <c r="G64" t="s">
        <v>74</v>
      </c>
      <c r="H64" t="s">
        <v>74</v>
      </c>
      <c r="I64" t="s">
        <v>1187</v>
      </c>
      <c r="J64" t="s">
        <v>1188</v>
      </c>
      <c r="K64" t="s">
        <v>74</v>
      </c>
      <c r="L64" t="s">
        <v>74</v>
      </c>
      <c r="M64" t="s">
        <v>78</v>
      </c>
      <c r="N64" t="s">
        <v>52</v>
      </c>
      <c r="O64" t="s">
        <v>74</v>
      </c>
      <c r="P64" t="s">
        <v>74</v>
      </c>
      <c r="Q64" t="s">
        <v>74</v>
      </c>
      <c r="R64" t="s">
        <v>74</v>
      </c>
      <c r="S64" t="s">
        <v>74</v>
      </c>
      <c r="T64" t="s">
        <v>1189</v>
      </c>
      <c r="U64" t="s">
        <v>74</v>
      </c>
      <c r="V64" t="s">
        <v>74</v>
      </c>
      <c r="W64" t="s">
        <v>1190</v>
      </c>
      <c r="X64" t="s">
        <v>1191</v>
      </c>
      <c r="Y64" t="s">
        <v>74</v>
      </c>
      <c r="Z64" t="s">
        <v>1192</v>
      </c>
      <c r="AA64" t="s">
        <v>74</v>
      </c>
      <c r="AB64" t="s">
        <v>74</v>
      </c>
      <c r="AC64" t="s">
        <v>74</v>
      </c>
      <c r="AD64" t="s">
        <v>74</v>
      </c>
      <c r="AE64" t="s">
        <v>74</v>
      </c>
      <c r="AF64" t="s">
        <v>74</v>
      </c>
      <c r="AG64">
        <v>0</v>
      </c>
      <c r="AH64">
        <v>0</v>
      </c>
      <c r="AI64">
        <v>0</v>
      </c>
      <c r="AJ64">
        <v>0</v>
      </c>
      <c r="AK64">
        <v>1</v>
      </c>
      <c r="AL64" t="s">
        <v>1193</v>
      </c>
      <c r="AM64" t="s">
        <v>1194</v>
      </c>
      <c r="AN64" t="s">
        <v>1195</v>
      </c>
      <c r="AO64" t="s">
        <v>1196</v>
      </c>
      <c r="AP64" t="s">
        <v>74</v>
      </c>
      <c r="AQ64" t="s">
        <v>74</v>
      </c>
      <c r="AR64" t="s">
        <v>1197</v>
      </c>
      <c r="AS64" t="s">
        <v>1198</v>
      </c>
      <c r="AT64" t="s">
        <v>74</v>
      </c>
      <c r="AU64">
        <v>2008</v>
      </c>
      <c r="AV64">
        <v>64</v>
      </c>
      <c r="AW64" t="s">
        <v>74</v>
      </c>
      <c r="AX64" t="s">
        <v>74</v>
      </c>
      <c r="AY64" t="s">
        <v>1199</v>
      </c>
      <c r="AZ64" t="s">
        <v>74</v>
      </c>
      <c r="BA64" t="s">
        <v>1200</v>
      </c>
      <c r="BB64" t="s">
        <v>1201</v>
      </c>
      <c r="BC64" t="s">
        <v>1202</v>
      </c>
      <c r="BD64" t="s">
        <v>74</v>
      </c>
      <c r="BE64" t="s">
        <v>1203</v>
      </c>
      <c r="BF64" t="str">
        <f>HYPERLINK("http://dx.doi.org/10.1107/S0108767308091800","http://dx.doi.org/10.1107/S0108767308091800")</f>
        <v>http://dx.doi.org/10.1107/S0108767308091800</v>
      </c>
      <c r="BG64" t="s">
        <v>74</v>
      </c>
      <c r="BH64" t="s">
        <v>74</v>
      </c>
      <c r="BI64">
        <v>2</v>
      </c>
      <c r="BJ64" t="s">
        <v>1204</v>
      </c>
      <c r="BK64" t="s">
        <v>97</v>
      </c>
      <c r="BL64" t="s">
        <v>1205</v>
      </c>
      <c r="BM64" t="s">
        <v>1206</v>
      </c>
      <c r="BN64" t="s">
        <v>74</v>
      </c>
      <c r="BO64" t="s">
        <v>179</v>
      </c>
      <c r="BP64" t="s">
        <v>74</v>
      </c>
      <c r="BQ64" t="s">
        <v>74</v>
      </c>
      <c r="BR64" t="s">
        <v>100</v>
      </c>
      <c r="BS64" t="s">
        <v>1207</v>
      </c>
      <c r="BT64" t="str">
        <f>HYPERLINK("https%3A%2F%2Fwww.webofscience.com%2Fwos%2Fwoscc%2Ffull-record%2FWOS:000480420702174","View Full Record in Web of Science")</f>
        <v>View Full Record in Web of Science</v>
      </c>
    </row>
    <row r="65" spans="1:72" x14ac:dyDescent="0.15">
      <c r="A65" t="s">
        <v>72</v>
      </c>
      <c r="B65" t="s">
        <v>1208</v>
      </c>
      <c r="C65" t="s">
        <v>74</v>
      </c>
      <c r="D65" t="s">
        <v>74</v>
      </c>
      <c r="E65" t="s">
        <v>74</v>
      </c>
      <c r="F65" t="s">
        <v>1209</v>
      </c>
      <c r="G65" t="s">
        <v>74</v>
      </c>
      <c r="H65" t="s">
        <v>74</v>
      </c>
      <c r="I65" t="s">
        <v>1210</v>
      </c>
      <c r="J65" t="s">
        <v>1211</v>
      </c>
      <c r="K65" t="s">
        <v>74</v>
      </c>
      <c r="L65" t="s">
        <v>74</v>
      </c>
      <c r="M65" t="s">
        <v>78</v>
      </c>
      <c r="N65" t="s">
        <v>79</v>
      </c>
      <c r="O65" t="s">
        <v>74</v>
      </c>
      <c r="P65" t="s">
        <v>74</v>
      </c>
      <c r="Q65" t="s">
        <v>74</v>
      </c>
      <c r="R65" t="s">
        <v>74</v>
      </c>
      <c r="S65" t="s">
        <v>74</v>
      </c>
      <c r="T65" t="s">
        <v>1212</v>
      </c>
      <c r="U65" t="s">
        <v>1213</v>
      </c>
      <c r="V65" t="s">
        <v>1214</v>
      </c>
      <c r="W65" t="s">
        <v>1215</v>
      </c>
      <c r="X65" t="s">
        <v>1216</v>
      </c>
      <c r="Y65" t="s">
        <v>1217</v>
      </c>
      <c r="Z65" t="s">
        <v>1218</v>
      </c>
      <c r="AA65" t="s">
        <v>74</v>
      </c>
      <c r="AB65" t="s">
        <v>74</v>
      </c>
      <c r="AC65" t="s">
        <v>74</v>
      </c>
      <c r="AD65" t="s">
        <v>74</v>
      </c>
      <c r="AE65" t="s">
        <v>74</v>
      </c>
      <c r="AF65" t="s">
        <v>74</v>
      </c>
      <c r="AG65">
        <v>54</v>
      </c>
      <c r="AH65">
        <v>9</v>
      </c>
      <c r="AI65">
        <v>9</v>
      </c>
      <c r="AJ65">
        <v>1</v>
      </c>
      <c r="AK65">
        <v>35</v>
      </c>
      <c r="AL65" t="s">
        <v>1219</v>
      </c>
      <c r="AM65" t="s">
        <v>89</v>
      </c>
      <c r="AN65" t="s">
        <v>90</v>
      </c>
      <c r="AO65" t="s">
        <v>1220</v>
      </c>
      <c r="AP65" t="s">
        <v>1221</v>
      </c>
      <c r="AQ65" t="s">
        <v>74</v>
      </c>
      <c r="AR65" t="s">
        <v>1222</v>
      </c>
      <c r="AS65" t="s">
        <v>1223</v>
      </c>
      <c r="AT65" t="s">
        <v>74</v>
      </c>
      <c r="AU65">
        <v>2008</v>
      </c>
      <c r="AV65">
        <v>82</v>
      </c>
      <c r="AW65">
        <v>5</v>
      </c>
      <c r="AX65" t="s">
        <v>74</v>
      </c>
      <c r="AY65" t="s">
        <v>74</v>
      </c>
      <c r="AZ65">
        <v>4</v>
      </c>
      <c r="BA65" t="s">
        <v>74</v>
      </c>
      <c r="BB65">
        <v>1002</v>
      </c>
      <c r="BC65">
        <v>1014</v>
      </c>
      <c r="BD65" t="s">
        <v>74</v>
      </c>
      <c r="BE65" t="s">
        <v>74</v>
      </c>
      <c r="BF65" t="s">
        <v>74</v>
      </c>
      <c r="BG65" t="s">
        <v>74</v>
      </c>
      <c r="BH65" t="s">
        <v>74</v>
      </c>
      <c r="BI65">
        <v>13</v>
      </c>
      <c r="BJ65" t="s">
        <v>96</v>
      </c>
      <c r="BK65" t="s">
        <v>97</v>
      </c>
      <c r="BL65" t="s">
        <v>98</v>
      </c>
      <c r="BM65" t="s">
        <v>1224</v>
      </c>
      <c r="BN65" t="s">
        <v>74</v>
      </c>
      <c r="BO65" t="s">
        <v>74</v>
      </c>
      <c r="BP65" t="s">
        <v>74</v>
      </c>
      <c r="BQ65" t="s">
        <v>74</v>
      </c>
      <c r="BR65" t="s">
        <v>100</v>
      </c>
      <c r="BS65" t="s">
        <v>1225</v>
      </c>
      <c r="BT65" t="str">
        <f>HYPERLINK("https%3A%2F%2Fwww.webofscience.com%2Fwos%2Fwoscc%2Ffull-record%2FWOS:000207479500009","View Full Record in Web of Science")</f>
        <v>View Full Record in Web of Science</v>
      </c>
    </row>
    <row r="66" spans="1:72" x14ac:dyDescent="0.15">
      <c r="A66" t="s">
        <v>72</v>
      </c>
      <c r="B66" t="s">
        <v>1226</v>
      </c>
      <c r="C66" t="s">
        <v>74</v>
      </c>
      <c r="D66" t="s">
        <v>74</v>
      </c>
      <c r="E66" t="s">
        <v>74</v>
      </c>
      <c r="F66" t="s">
        <v>1227</v>
      </c>
      <c r="G66" t="s">
        <v>74</v>
      </c>
      <c r="H66" t="s">
        <v>74</v>
      </c>
      <c r="I66" t="s">
        <v>1228</v>
      </c>
      <c r="J66" t="s">
        <v>1229</v>
      </c>
      <c r="K66" t="s">
        <v>74</v>
      </c>
      <c r="L66" t="s">
        <v>74</v>
      </c>
      <c r="M66" t="s">
        <v>78</v>
      </c>
      <c r="N66" t="s">
        <v>79</v>
      </c>
      <c r="O66" t="s">
        <v>74</v>
      </c>
      <c r="P66" t="s">
        <v>74</v>
      </c>
      <c r="Q66" t="s">
        <v>74</v>
      </c>
      <c r="R66" t="s">
        <v>74</v>
      </c>
      <c r="S66" t="s">
        <v>74</v>
      </c>
      <c r="T66" t="s">
        <v>1230</v>
      </c>
      <c r="U66" t="s">
        <v>1231</v>
      </c>
      <c r="V66" t="s">
        <v>1232</v>
      </c>
      <c r="W66" t="s">
        <v>1233</v>
      </c>
      <c r="X66" t="s">
        <v>1234</v>
      </c>
      <c r="Y66" t="s">
        <v>1235</v>
      </c>
      <c r="Z66" t="s">
        <v>1236</v>
      </c>
      <c r="AA66" t="s">
        <v>74</v>
      </c>
      <c r="AB66" t="s">
        <v>74</v>
      </c>
      <c r="AC66" t="s">
        <v>1237</v>
      </c>
      <c r="AD66" t="s">
        <v>1238</v>
      </c>
      <c r="AE66" t="s">
        <v>1239</v>
      </c>
      <c r="AF66" t="s">
        <v>74</v>
      </c>
      <c r="AG66">
        <v>28</v>
      </c>
      <c r="AH66">
        <v>38</v>
      </c>
      <c r="AI66">
        <v>40</v>
      </c>
      <c r="AJ66">
        <v>0</v>
      </c>
      <c r="AK66">
        <v>18</v>
      </c>
      <c r="AL66" t="s">
        <v>1240</v>
      </c>
      <c r="AM66" t="s">
        <v>1241</v>
      </c>
      <c r="AN66" t="s">
        <v>1242</v>
      </c>
      <c r="AO66" t="s">
        <v>1243</v>
      </c>
      <c r="AP66" t="s">
        <v>1244</v>
      </c>
      <c r="AQ66" t="s">
        <v>74</v>
      </c>
      <c r="AR66" t="s">
        <v>1245</v>
      </c>
      <c r="AS66" t="s">
        <v>1246</v>
      </c>
      <c r="AT66" t="s">
        <v>74</v>
      </c>
      <c r="AU66">
        <v>2008</v>
      </c>
      <c r="AV66">
        <v>22</v>
      </c>
      <c r="AW66">
        <v>4</v>
      </c>
      <c r="AX66" t="s">
        <v>74</v>
      </c>
      <c r="AY66" t="s">
        <v>74</v>
      </c>
      <c r="AZ66" t="s">
        <v>74</v>
      </c>
      <c r="BA66" t="s">
        <v>74</v>
      </c>
      <c r="BB66">
        <v>455</v>
      </c>
      <c r="BC66">
        <v>471</v>
      </c>
      <c r="BD66" t="s">
        <v>74</v>
      </c>
      <c r="BE66" t="s">
        <v>74</v>
      </c>
      <c r="BF66" t="s">
        <v>74</v>
      </c>
      <c r="BG66" t="s">
        <v>74</v>
      </c>
      <c r="BH66" t="s">
        <v>74</v>
      </c>
      <c r="BI66">
        <v>17</v>
      </c>
      <c r="BJ66" t="s">
        <v>204</v>
      </c>
      <c r="BK66" t="s">
        <v>97</v>
      </c>
      <c r="BL66" t="s">
        <v>204</v>
      </c>
      <c r="BM66" t="s">
        <v>1247</v>
      </c>
      <c r="BN66" t="s">
        <v>74</v>
      </c>
      <c r="BO66" t="s">
        <v>74</v>
      </c>
      <c r="BP66" t="s">
        <v>74</v>
      </c>
      <c r="BQ66" t="s">
        <v>74</v>
      </c>
      <c r="BR66" t="s">
        <v>100</v>
      </c>
      <c r="BS66" t="s">
        <v>1248</v>
      </c>
      <c r="BT66" t="str">
        <f>HYPERLINK("https%3A%2F%2Fwww.webofscience.com%2Fwos%2Fwoscc%2Ffull-record%2FWOS:000262417000006","View Full Record in Web of Science")</f>
        <v>View Full Record in Web of Science</v>
      </c>
    </row>
    <row r="67" spans="1:72" x14ac:dyDescent="0.15">
      <c r="A67" t="s">
        <v>72</v>
      </c>
      <c r="B67" t="s">
        <v>1249</v>
      </c>
      <c r="C67" t="s">
        <v>74</v>
      </c>
      <c r="D67" t="s">
        <v>74</v>
      </c>
      <c r="E67" t="s">
        <v>74</v>
      </c>
      <c r="F67" t="s">
        <v>1250</v>
      </c>
      <c r="G67" t="s">
        <v>74</v>
      </c>
      <c r="H67" t="s">
        <v>74</v>
      </c>
      <c r="I67" t="s">
        <v>1251</v>
      </c>
      <c r="J67" t="s">
        <v>1252</v>
      </c>
      <c r="K67" t="s">
        <v>74</v>
      </c>
      <c r="L67" t="s">
        <v>74</v>
      </c>
      <c r="M67" t="s">
        <v>78</v>
      </c>
      <c r="N67" t="s">
        <v>79</v>
      </c>
      <c r="O67" t="s">
        <v>74</v>
      </c>
      <c r="P67" t="s">
        <v>74</v>
      </c>
      <c r="Q67" t="s">
        <v>74</v>
      </c>
      <c r="R67" t="s">
        <v>74</v>
      </c>
      <c r="S67" t="s">
        <v>74</v>
      </c>
      <c r="T67" t="s">
        <v>1253</v>
      </c>
      <c r="U67" t="s">
        <v>1254</v>
      </c>
      <c r="V67" t="s">
        <v>1255</v>
      </c>
      <c r="W67" t="s">
        <v>1256</v>
      </c>
      <c r="X67" t="s">
        <v>1257</v>
      </c>
      <c r="Y67" t="s">
        <v>1258</v>
      </c>
      <c r="Z67" t="s">
        <v>1259</v>
      </c>
      <c r="AA67" t="s">
        <v>1260</v>
      </c>
      <c r="AB67" t="s">
        <v>1261</v>
      </c>
      <c r="AC67" t="s">
        <v>1262</v>
      </c>
      <c r="AD67" t="s">
        <v>1263</v>
      </c>
      <c r="AE67" t="s">
        <v>1264</v>
      </c>
      <c r="AF67" t="s">
        <v>74</v>
      </c>
      <c r="AG67">
        <v>21</v>
      </c>
      <c r="AH67">
        <v>4</v>
      </c>
      <c r="AI67">
        <v>4</v>
      </c>
      <c r="AJ67">
        <v>1</v>
      </c>
      <c r="AK67">
        <v>15</v>
      </c>
      <c r="AL67" t="s">
        <v>1265</v>
      </c>
      <c r="AM67" t="s">
        <v>662</v>
      </c>
      <c r="AN67" t="s">
        <v>1266</v>
      </c>
      <c r="AO67" t="s">
        <v>1267</v>
      </c>
      <c r="AP67" t="s">
        <v>1268</v>
      </c>
      <c r="AQ67" t="s">
        <v>74</v>
      </c>
      <c r="AR67" t="s">
        <v>1269</v>
      </c>
      <c r="AS67" t="s">
        <v>1270</v>
      </c>
      <c r="AT67" t="s">
        <v>74</v>
      </c>
      <c r="AU67">
        <v>2008</v>
      </c>
      <c r="AV67">
        <v>27</v>
      </c>
      <c r="AW67">
        <v>4</v>
      </c>
      <c r="AX67" t="s">
        <v>74</v>
      </c>
      <c r="AY67" t="s">
        <v>74</v>
      </c>
      <c r="AZ67" t="s">
        <v>74</v>
      </c>
      <c r="BA67" t="s">
        <v>74</v>
      </c>
      <c r="BB67">
        <v>17</v>
      </c>
      <c r="BC67">
        <v>25</v>
      </c>
      <c r="BD67" t="s">
        <v>74</v>
      </c>
      <c r="BE67" t="s">
        <v>74</v>
      </c>
      <c r="BF67" t="s">
        <v>74</v>
      </c>
      <c r="BG67" t="s">
        <v>74</v>
      </c>
      <c r="BH67" t="s">
        <v>74</v>
      </c>
      <c r="BI67">
        <v>9</v>
      </c>
      <c r="BJ67" t="s">
        <v>630</v>
      </c>
      <c r="BK67" t="s">
        <v>97</v>
      </c>
      <c r="BL67" t="s">
        <v>630</v>
      </c>
      <c r="BM67" t="s">
        <v>1271</v>
      </c>
      <c r="BN67" t="s">
        <v>74</v>
      </c>
      <c r="BO67" t="s">
        <v>74</v>
      </c>
      <c r="BP67" t="s">
        <v>74</v>
      </c>
      <c r="BQ67" t="s">
        <v>74</v>
      </c>
      <c r="BR67" t="s">
        <v>100</v>
      </c>
      <c r="BS67" t="s">
        <v>1272</v>
      </c>
      <c r="BT67" t="str">
        <f>HYPERLINK("https%3A%2F%2Fwww.webofscience.com%2Fwos%2Fwoscc%2Ffull-record%2FWOS:000260878500002","View Full Record in Web of Science")</f>
        <v>View Full Record in Web of Science</v>
      </c>
    </row>
    <row r="68" spans="1:72" x14ac:dyDescent="0.15">
      <c r="A68" t="s">
        <v>72</v>
      </c>
      <c r="B68" t="s">
        <v>1273</v>
      </c>
      <c r="C68" t="s">
        <v>74</v>
      </c>
      <c r="D68" t="s">
        <v>74</v>
      </c>
      <c r="E68" t="s">
        <v>74</v>
      </c>
      <c r="F68" t="s">
        <v>1274</v>
      </c>
      <c r="G68" t="s">
        <v>74</v>
      </c>
      <c r="H68" t="s">
        <v>74</v>
      </c>
      <c r="I68" t="s">
        <v>1275</v>
      </c>
      <c r="J68" t="s">
        <v>1252</v>
      </c>
      <c r="K68" t="s">
        <v>74</v>
      </c>
      <c r="L68" t="s">
        <v>74</v>
      </c>
      <c r="M68" t="s">
        <v>78</v>
      </c>
      <c r="N68" t="s">
        <v>79</v>
      </c>
      <c r="O68" t="s">
        <v>74</v>
      </c>
      <c r="P68" t="s">
        <v>74</v>
      </c>
      <c r="Q68" t="s">
        <v>74</v>
      </c>
      <c r="R68" t="s">
        <v>74</v>
      </c>
      <c r="S68" t="s">
        <v>74</v>
      </c>
      <c r="T68" t="s">
        <v>1276</v>
      </c>
      <c r="U68" t="s">
        <v>1277</v>
      </c>
      <c r="V68" t="s">
        <v>1278</v>
      </c>
      <c r="W68" t="s">
        <v>1279</v>
      </c>
      <c r="X68" t="s">
        <v>1280</v>
      </c>
      <c r="Y68" t="s">
        <v>1281</v>
      </c>
      <c r="Z68" t="s">
        <v>1282</v>
      </c>
      <c r="AA68" t="s">
        <v>1283</v>
      </c>
      <c r="AB68" t="s">
        <v>74</v>
      </c>
      <c r="AC68" t="s">
        <v>74</v>
      </c>
      <c r="AD68" t="s">
        <v>74</v>
      </c>
      <c r="AE68" t="s">
        <v>74</v>
      </c>
      <c r="AF68" t="s">
        <v>74</v>
      </c>
      <c r="AG68">
        <v>36</v>
      </c>
      <c r="AH68">
        <v>4</v>
      </c>
      <c r="AI68">
        <v>10</v>
      </c>
      <c r="AJ68">
        <v>1</v>
      </c>
      <c r="AK68">
        <v>10</v>
      </c>
      <c r="AL68" t="s">
        <v>1265</v>
      </c>
      <c r="AM68" t="s">
        <v>662</v>
      </c>
      <c r="AN68" t="s">
        <v>1266</v>
      </c>
      <c r="AO68" t="s">
        <v>1267</v>
      </c>
      <c r="AP68" t="s">
        <v>1268</v>
      </c>
      <c r="AQ68" t="s">
        <v>74</v>
      </c>
      <c r="AR68" t="s">
        <v>1269</v>
      </c>
      <c r="AS68" t="s">
        <v>1270</v>
      </c>
      <c r="AT68" t="s">
        <v>74</v>
      </c>
      <c r="AU68">
        <v>2008</v>
      </c>
      <c r="AV68">
        <v>27</v>
      </c>
      <c r="AW68">
        <v>2</v>
      </c>
      <c r="AX68" t="s">
        <v>74</v>
      </c>
      <c r="AY68" t="s">
        <v>74</v>
      </c>
      <c r="AZ68" t="s">
        <v>74</v>
      </c>
      <c r="BA68" t="s">
        <v>74</v>
      </c>
      <c r="BB68">
        <v>21</v>
      </c>
      <c r="BC68">
        <v>29</v>
      </c>
      <c r="BD68" t="s">
        <v>74</v>
      </c>
      <c r="BE68" t="s">
        <v>74</v>
      </c>
      <c r="BF68" t="s">
        <v>74</v>
      </c>
      <c r="BG68" t="s">
        <v>74</v>
      </c>
      <c r="BH68" t="s">
        <v>74</v>
      </c>
      <c r="BI68">
        <v>9</v>
      </c>
      <c r="BJ68" t="s">
        <v>630</v>
      </c>
      <c r="BK68" t="s">
        <v>97</v>
      </c>
      <c r="BL68" t="s">
        <v>630</v>
      </c>
      <c r="BM68" t="s">
        <v>1284</v>
      </c>
      <c r="BN68" t="s">
        <v>74</v>
      </c>
      <c r="BO68" t="s">
        <v>74</v>
      </c>
      <c r="BP68" t="s">
        <v>74</v>
      </c>
      <c r="BQ68" t="s">
        <v>74</v>
      </c>
      <c r="BR68" t="s">
        <v>100</v>
      </c>
      <c r="BS68" t="s">
        <v>1285</v>
      </c>
      <c r="BT68" t="str">
        <f>HYPERLINK("https%3A%2F%2Fwww.webofscience.com%2Fwos%2Fwoscc%2Ffull-record%2FWOS:000256131900003","View Full Record in Web of Science")</f>
        <v>View Full Record in Web of Science</v>
      </c>
    </row>
    <row r="69" spans="1:72" x14ac:dyDescent="0.15">
      <c r="A69" t="s">
        <v>72</v>
      </c>
      <c r="B69" t="s">
        <v>1286</v>
      </c>
      <c r="C69" t="s">
        <v>74</v>
      </c>
      <c r="D69" t="s">
        <v>74</v>
      </c>
      <c r="E69" t="s">
        <v>74</v>
      </c>
      <c r="F69" t="s">
        <v>1287</v>
      </c>
      <c r="G69" t="s">
        <v>74</v>
      </c>
      <c r="H69" t="s">
        <v>74</v>
      </c>
      <c r="I69" t="s">
        <v>1288</v>
      </c>
      <c r="J69" t="s">
        <v>1252</v>
      </c>
      <c r="K69" t="s">
        <v>74</v>
      </c>
      <c r="L69" t="s">
        <v>74</v>
      </c>
      <c r="M69" t="s">
        <v>78</v>
      </c>
      <c r="N69" t="s">
        <v>79</v>
      </c>
      <c r="O69" t="s">
        <v>74</v>
      </c>
      <c r="P69" t="s">
        <v>74</v>
      </c>
      <c r="Q69" t="s">
        <v>74</v>
      </c>
      <c r="R69" t="s">
        <v>74</v>
      </c>
      <c r="S69" t="s">
        <v>74</v>
      </c>
      <c r="T69" t="s">
        <v>1289</v>
      </c>
      <c r="U69" t="s">
        <v>1290</v>
      </c>
      <c r="V69" t="s">
        <v>1291</v>
      </c>
      <c r="W69" t="s">
        <v>1292</v>
      </c>
      <c r="X69" t="s">
        <v>1293</v>
      </c>
      <c r="Y69" t="s">
        <v>1294</v>
      </c>
      <c r="Z69" t="s">
        <v>1295</v>
      </c>
      <c r="AA69" t="s">
        <v>1296</v>
      </c>
      <c r="AB69" t="s">
        <v>1297</v>
      </c>
      <c r="AC69" t="s">
        <v>74</v>
      </c>
      <c r="AD69" t="s">
        <v>74</v>
      </c>
      <c r="AE69" t="s">
        <v>74</v>
      </c>
      <c r="AF69" t="s">
        <v>74</v>
      </c>
      <c r="AG69">
        <v>34</v>
      </c>
      <c r="AH69">
        <v>9</v>
      </c>
      <c r="AI69">
        <v>20</v>
      </c>
      <c r="AJ69">
        <v>0</v>
      </c>
      <c r="AK69">
        <v>10</v>
      </c>
      <c r="AL69" t="s">
        <v>1265</v>
      </c>
      <c r="AM69" t="s">
        <v>662</v>
      </c>
      <c r="AN69" t="s">
        <v>1298</v>
      </c>
      <c r="AO69" t="s">
        <v>1267</v>
      </c>
      <c r="AP69" t="s">
        <v>1268</v>
      </c>
      <c r="AQ69" t="s">
        <v>74</v>
      </c>
      <c r="AR69" t="s">
        <v>1269</v>
      </c>
      <c r="AS69" t="s">
        <v>1270</v>
      </c>
      <c r="AT69" t="s">
        <v>74</v>
      </c>
      <c r="AU69">
        <v>2008</v>
      </c>
      <c r="AV69">
        <v>27</v>
      </c>
      <c r="AW69">
        <v>3</v>
      </c>
      <c r="AX69" t="s">
        <v>74</v>
      </c>
      <c r="AY69" t="s">
        <v>74</v>
      </c>
      <c r="AZ69" t="s">
        <v>74</v>
      </c>
      <c r="BA69" t="s">
        <v>74</v>
      </c>
      <c r="BB69">
        <v>136</v>
      </c>
      <c r="BC69">
        <v>146</v>
      </c>
      <c r="BD69" t="s">
        <v>74</v>
      </c>
      <c r="BE69" t="s">
        <v>74</v>
      </c>
      <c r="BF69" t="s">
        <v>74</v>
      </c>
      <c r="BG69" t="s">
        <v>74</v>
      </c>
      <c r="BH69" t="s">
        <v>74</v>
      </c>
      <c r="BI69">
        <v>11</v>
      </c>
      <c r="BJ69" t="s">
        <v>630</v>
      </c>
      <c r="BK69" t="s">
        <v>97</v>
      </c>
      <c r="BL69" t="s">
        <v>630</v>
      </c>
      <c r="BM69" t="s">
        <v>1299</v>
      </c>
      <c r="BN69" t="s">
        <v>74</v>
      </c>
      <c r="BO69" t="s">
        <v>74</v>
      </c>
      <c r="BP69" t="s">
        <v>74</v>
      </c>
      <c r="BQ69" t="s">
        <v>74</v>
      </c>
      <c r="BR69" t="s">
        <v>100</v>
      </c>
      <c r="BS69" t="s">
        <v>1300</v>
      </c>
      <c r="BT69" t="str">
        <f>HYPERLINK("https%3A%2F%2Fwww.webofscience.com%2Fwos%2Fwoscc%2Ffull-record%2FWOS:000259383400014","View Full Record in Web of Science")</f>
        <v>View Full Record in Web of Science</v>
      </c>
    </row>
    <row r="70" spans="1:72" x14ac:dyDescent="0.15">
      <c r="A70" t="s">
        <v>816</v>
      </c>
      <c r="B70" t="s">
        <v>1301</v>
      </c>
      <c r="C70" t="s">
        <v>74</v>
      </c>
      <c r="D70" t="s">
        <v>1302</v>
      </c>
      <c r="E70" t="s">
        <v>74</v>
      </c>
      <c r="F70" t="s">
        <v>1303</v>
      </c>
      <c r="G70" t="s">
        <v>74</v>
      </c>
      <c r="H70" t="s">
        <v>74</v>
      </c>
      <c r="I70" t="s">
        <v>1304</v>
      </c>
      <c r="J70" t="s">
        <v>1305</v>
      </c>
      <c r="K70" t="s">
        <v>74</v>
      </c>
      <c r="L70" t="s">
        <v>74</v>
      </c>
      <c r="M70" t="s">
        <v>78</v>
      </c>
      <c r="N70" t="s">
        <v>823</v>
      </c>
      <c r="O70" t="s">
        <v>1306</v>
      </c>
      <c r="P70" t="s">
        <v>1307</v>
      </c>
      <c r="Q70" t="s">
        <v>1308</v>
      </c>
      <c r="R70" t="s">
        <v>74</v>
      </c>
      <c r="S70" t="s">
        <v>74</v>
      </c>
      <c r="T70" t="s">
        <v>1309</v>
      </c>
      <c r="U70" t="s">
        <v>1310</v>
      </c>
      <c r="V70" t="s">
        <v>1311</v>
      </c>
      <c r="W70" t="s">
        <v>1312</v>
      </c>
      <c r="X70" t="s">
        <v>1313</v>
      </c>
      <c r="Y70" t="s">
        <v>1314</v>
      </c>
      <c r="Z70" t="s">
        <v>74</v>
      </c>
      <c r="AA70" t="s">
        <v>74</v>
      </c>
      <c r="AB70" t="s">
        <v>74</v>
      </c>
      <c r="AC70" t="s">
        <v>1315</v>
      </c>
      <c r="AD70" t="s">
        <v>1315</v>
      </c>
      <c r="AE70" t="s">
        <v>1316</v>
      </c>
      <c r="AF70" t="s">
        <v>74</v>
      </c>
      <c r="AG70">
        <v>40</v>
      </c>
      <c r="AH70">
        <v>3</v>
      </c>
      <c r="AI70">
        <v>4</v>
      </c>
      <c r="AJ70">
        <v>0</v>
      </c>
      <c r="AK70">
        <v>10</v>
      </c>
      <c r="AL70" t="s">
        <v>1265</v>
      </c>
      <c r="AM70" t="s">
        <v>1317</v>
      </c>
      <c r="AN70" t="s">
        <v>1318</v>
      </c>
      <c r="AO70" t="s">
        <v>74</v>
      </c>
      <c r="AP70" t="s">
        <v>74</v>
      </c>
      <c r="AQ70" t="s">
        <v>1319</v>
      </c>
      <c r="AR70" t="s">
        <v>74</v>
      </c>
      <c r="AS70" t="s">
        <v>74</v>
      </c>
      <c r="AT70" t="s">
        <v>74</v>
      </c>
      <c r="AU70">
        <v>2008</v>
      </c>
      <c r="AV70" t="s">
        <v>74</v>
      </c>
      <c r="AW70" t="s">
        <v>74</v>
      </c>
      <c r="AX70" t="s">
        <v>74</v>
      </c>
      <c r="AY70" t="s">
        <v>74</v>
      </c>
      <c r="AZ70" t="s">
        <v>74</v>
      </c>
      <c r="BA70" t="s">
        <v>74</v>
      </c>
      <c r="BB70">
        <v>37</v>
      </c>
      <c r="BC70" t="s">
        <v>865</v>
      </c>
      <c r="BD70" t="s">
        <v>74</v>
      </c>
      <c r="BE70" t="s">
        <v>1320</v>
      </c>
      <c r="BF70" t="str">
        <f>HYPERLINK("http://dx.doi.org/10.1007/978-1-4020-6364-0_3","http://dx.doi.org/10.1007/978-1-4020-6364-0_3")</f>
        <v>http://dx.doi.org/10.1007/978-1-4020-6364-0_3</v>
      </c>
      <c r="BG70" t="s">
        <v>74</v>
      </c>
      <c r="BH70" t="s">
        <v>74</v>
      </c>
      <c r="BI70">
        <v>5</v>
      </c>
      <c r="BJ70" t="s">
        <v>1321</v>
      </c>
      <c r="BK70" t="s">
        <v>842</v>
      </c>
      <c r="BL70" t="s">
        <v>1322</v>
      </c>
      <c r="BM70" t="s">
        <v>1323</v>
      </c>
      <c r="BN70" t="s">
        <v>74</v>
      </c>
      <c r="BO70" t="s">
        <v>74</v>
      </c>
      <c r="BP70" t="s">
        <v>74</v>
      </c>
      <c r="BQ70" t="s">
        <v>74</v>
      </c>
      <c r="BR70" t="s">
        <v>100</v>
      </c>
      <c r="BS70" t="s">
        <v>1324</v>
      </c>
      <c r="BT70" t="str">
        <f>HYPERLINK("https%3A%2F%2Fwww.webofscience.com%2Fwos%2Fwoscc%2Ffull-record%2FWOS:000251847700003","View Full Record in Web of Science")</f>
        <v>View Full Record in Web of Science</v>
      </c>
    </row>
    <row r="71" spans="1:72" x14ac:dyDescent="0.15">
      <c r="A71" t="s">
        <v>810</v>
      </c>
      <c r="B71" t="s">
        <v>1325</v>
      </c>
      <c r="C71" t="s">
        <v>74</v>
      </c>
      <c r="D71" t="s">
        <v>74</v>
      </c>
      <c r="E71" t="s">
        <v>74</v>
      </c>
      <c r="F71" t="s">
        <v>1326</v>
      </c>
      <c r="G71" t="s">
        <v>74</v>
      </c>
      <c r="H71" t="s">
        <v>74</v>
      </c>
      <c r="I71" t="s">
        <v>1327</v>
      </c>
      <c r="J71" t="s">
        <v>1328</v>
      </c>
      <c r="K71" t="s">
        <v>74</v>
      </c>
      <c r="L71" t="s">
        <v>74</v>
      </c>
      <c r="M71" t="s">
        <v>78</v>
      </c>
      <c r="N71" t="s">
        <v>1329</v>
      </c>
      <c r="O71" t="s">
        <v>74</v>
      </c>
      <c r="P71" t="s">
        <v>74</v>
      </c>
      <c r="Q71" t="s">
        <v>74</v>
      </c>
      <c r="R71" t="s">
        <v>74</v>
      </c>
      <c r="S71" t="s">
        <v>74</v>
      </c>
      <c r="T71" t="s">
        <v>74</v>
      </c>
      <c r="U71" t="s">
        <v>1330</v>
      </c>
      <c r="V71" t="s">
        <v>74</v>
      </c>
      <c r="W71" t="s">
        <v>74</v>
      </c>
      <c r="X71" t="s">
        <v>74</v>
      </c>
      <c r="Y71" t="s">
        <v>74</v>
      </c>
      <c r="Z71" t="s">
        <v>74</v>
      </c>
      <c r="AA71" t="s">
        <v>74</v>
      </c>
      <c r="AB71" t="s">
        <v>74</v>
      </c>
      <c r="AC71" t="s">
        <v>74</v>
      </c>
      <c r="AD71" t="s">
        <v>74</v>
      </c>
      <c r="AE71" t="s">
        <v>74</v>
      </c>
      <c r="AF71" t="s">
        <v>74</v>
      </c>
      <c r="AG71">
        <v>549</v>
      </c>
      <c r="AH71">
        <v>0</v>
      </c>
      <c r="AI71">
        <v>0</v>
      </c>
      <c r="AJ71">
        <v>0</v>
      </c>
      <c r="AK71">
        <v>0</v>
      </c>
      <c r="AL71" t="s">
        <v>1331</v>
      </c>
      <c r="AM71" t="s">
        <v>118</v>
      </c>
      <c r="AN71" t="s">
        <v>1332</v>
      </c>
      <c r="AO71" t="s">
        <v>74</v>
      </c>
      <c r="AP71" t="s">
        <v>74</v>
      </c>
      <c r="AQ71" t="s">
        <v>1333</v>
      </c>
      <c r="AR71" t="s">
        <v>74</v>
      </c>
      <c r="AS71" t="s">
        <v>74</v>
      </c>
      <c r="AT71" t="s">
        <v>74</v>
      </c>
      <c r="AU71">
        <v>2008</v>
      </c>
      <c r="AV71" t="s">
        <v>74</v>
      </c>
      <c r="AW71" t="s">
        <v>74</v>
      </c>
      <c r="AX71" t="s">
        <v>74</v>
      </c>
      <c r="AY71" t="s">
        <v>74</v>
      </c>
      <c r="AZ71" t="s">
        <v>74</v>
      </c>
      <c r="BA71" t="s">
        <v>74</v>
      </c>
      <c r="BB71">
        <v>1</v>
      </c>
      <c r="BC71">
        <v>352</v>
      </c>
      <c r="BD71" t="s">
        <v>74</v>
      </c>
      <c r="BE71" t="s">
        <v>74</v>
      </c>
      <c r="BF71" t="s">
        <v>74</v>
      </c>
      <c r="BG71" t="s">
        <v>74</v>
      </c>
      <c r="BH71" t="s">
        <v>74</v>
      </c>
      <c r="BI71">
        <v>352</v>
      </c>
      <c r="BJ71" t="s">
        <v>1334</v>
      </c>
      <c r="BK71" t="s">
        <v>1335</v>
      </c>
      <c r="BL71" t="s">
        <v>1336</v>
      </c>
      <c r="BM71" t="s">
        <v>1337</v>
      </c>
      <c r="BN71" t="s">
        <v>74</v>
      </c>
      <c r="BO71" t="s">
        <v>74</v>
      </c>
      <c r="BP71" t="s">
        <v>74</v>
      </c>
      <c r="BQ71" t="s">
        <v>74</v>
      </c>
      <c r="BR71" t="s">
        <v>100</v>
      </c>
      <c r="BS71" t="s">
        <v>1338</v>
      </c>
      <c r="BT71" t="str">
        <f>HYPERLINK("https%3A%2F%2Fwww.webofscience.com%2Fwos%2Fwoscc%2Ffull-record%2FWOS:000305154900015","View Full Record in Web of Science")</f>
        <v>View Full Record in Web of Science</v>
      </c>
    </row>
    <row r="72" spans="1:72" x14ac:dyDescent="0.15">
      <c r="A72" t="s">
        <v>816</v>
      </c>
      <c r="B72" t="s">
        <v>1339</v>
      </c>
      <c r="C72" t="s">
        <v>74</v>
      </c>
      <c r="D72" t="s">
        <v>1340</v>
      </c>
      <c r="E72" t="s">
        <v>74</v>
      </c>
      <c r="F72" t="s">
        <v>1341</v>
      </c>
      <c r="G72" t="s">
        <v>74</v>
      </c>
      <c r="H72" t="s">
        <v>74</v>
      </c>
      <c r="I72" t="s">
        <v>1342</v>
      </c>
      <c r="J72" t="s">
        <v>1343</v>
      </c>
      <c r="K72" t="s">
        <v>1344</v>
      </c>
      <c r="L72" t="s">
        <v>74</v>
      </c>
      <c r="M72" t="s">
        <v>78</v>
      </c>
      <c r="N72" t="s">
        <v>823</v>
      </c>
      <c r="O72" t="s">
        <v>1345</v>
      </c>
      <c r="P72" t="s">
        <v>1346</v>
      </c>
      <c r="Q72" t="s">
        <v>1347</v>
      </c>
      <c r="R72" t="s">
        <v>74</v>
      </c>
      <c r="S72" t="s">
        <v>74</v>
      </c>
      <c r="T72" t="s">
        <v>1348</v>
      </c>
      <c r="U72" t="s">
        <v>74</v>
      </c>
      <c r="V72" t="s">
        <v>1349</v>
      </c>
      <c r="W72" t="s">
        <v>1350</v>
      </c>
      <c r="X72" t="s">
        <v>1351</v>
      </c>
      <c r="Y72" t="s">
        <v>1352</v>
      </c>
      <c r="Z72" t="s">
        <v>1353</v>
      </c>
      <c r="AA72" t="s">
        <v>74</v>
      </c>
      <c r="AB72" t="s">
        <v>74</v>
      </c>
      <c r="AC72" t="s">
        <v>74</v>
      </c>
      <c r="AD72" t="s">
        <v>74</v>
      </c>
      <c r="AE72" t="s">
        <v>74</v>
      </c>
      <c r="AF72" t="s">
        <v>74</v>
      </c>
      <c r="AG72">
        <v>12</v>
      </c>
      <c r="AH72">
        <v>2</v>
      </c>
      <c r="AI72">
        <v>2</v>
      </c>
      <c r="AJ72">
        <v>1</v>
      </c>
      <c r="AK72">
        <v>2</v>
      </c>
      <c r="AL72" t="s">
        <v>1354</v>
      </c>
      <c r="AM72" t="s">
        <v>1355</v>
      </c>
      <c r="AN72" t="s">
        <v>1356</v>
      </c>
      <c r="AO72" t="s">
        <v>1357</v>
      </c>
      <c r="AP72" t="s">
        <v>1358</v>
      </c>
      <c r="AQ72" t="s">
        <v>1359</v>
      </c>
      <c r="AR72" t="s">
        <v>1360</v>
      </c>
      <c r="AS72" t="s">
        <v>74</v>
      </c>
      <c r="AT72" t="s">
        <v>74</v>
      </c>
      <c r="AU72">
        <v>2008</v>
      </c>
      <c r="AV72">
        <v>7018</v>
      </c>
      <c r="AW72" t="s">
        <v>74</v>
      </c>
      <c r="AX72" t="s">
        <v>1361</v>
      </c>
      <c r="AY72" t="s">
        <v>74</v>
      </c>
      <c r="AZ72" t="s">
        <v>74</v>
      </c>
      <c r="BA72" t="s">
        <v>74</v>
      </c>
      <c r="BB72" t="s">
        <v>74</v>
      </c>
      <c r="BC72" t="s">
        <v>74</v>
      </c>
      <c r="BD72">
        <v>701848</v>
      </c>
      <c r="BE72" t="s">
        <v>1362</v>
      </c>
      <c r="BF72" t="str">
        <f>HYPERLINK("http://dx.doi.org/10.1117/12.789208","http://dx.doi.org/10.1117/12.789208")</f>
        <v>http://dx.doi.org/10.1117/12.789208</v>
      </c>
      <c r="BG72" t="s">
        <v>74</v>
      </c>
      <c r="BH72" t="s">
        <v>74</v>
      </c>
      <c r="BI72">
        <v>8</v>
      </c>
      <c r="BJ72" t="s">
        <v>1363</v>
      </c>
      <c r="BK72" t="s">
        <v>842</v>
      </c>
      <c r="BL72" t="s">
        <v>1364</v>
      </c>
      <c r="BM72" t="s">
        <v>1365</v>
      </c>
      <c r="BN72" t="s">
        <v>74</v>
      </c>
      <c r="BO72" t="s">
        <v>74</v>
      </c>
      <c r="BP72" t="s">
        <v>74</v>
      </c>
      <c r="BQ72" t="s">
        <v>74</v>
      </c>
      <c r="BR72" t="s">
        <v>100</v>
      </c>
      <c r="BS72" t="s">
        <v>1366</v>
      </c>
      <c r="BT72" t="str">
        <f>HYPERLINK("https%3A%2F%2Fwww.webofscience.com%2Fwos%2Fwoscc%2Ffull-record%2FWOS:000259919200133","View Full Record in Web of Science")</f>
        <v>View Full Record in Web of Science</v>
      </c>
    </row>
    <row r="73" spans="1:72" x14ac:dyDescent="0.15">
      <c r="A73" t="s">
        <v>816</v>
      </c>
      <c r="B73" t="s">
        <v>1367</v>
      </c>
      <c r="C73" t="s">
        <v>74</v>
      </c>
      <c r="D73" t="s">
        <v>1368</v>
      </c>
      <c r="E73" t="s">
        <v>74</v>
      </c>
      <c r="F73" t="s">
        <v>1369</v>
      </c>
      <c r="G73" t="s">
        <v>74</v>
      </c>
      <c r="H73" t="s">
        <v>74</v>
      </c>
      <c r="I73" t="s">
        <v>1370</v>
      </c>
      <c r="J73" t="s">
        <v>1371</v>
      </c>
      <c r="K73" t="s">
        <v>1372</v>
      </c>
      <c r="L73" t="s">
        <v>74</v>
      </c>
      <c r="M73" t="s">
        <v>78</v>
      </c>
      <c r="N73" t="s">
        <v>823</v>
      </c>
      <c r="O73" t="s">
        <v>1373</v>
      </c>
      <c r="P73" t="s">
        <v>1374</v>
      </c>
      <c r="Q73" t="s">
        <v>1347</v>
      </c>
      <c r="R73" t="s">
        <v>74</v>
      </c>
      <c r="S73" t="s">
        <v>74</v>
      </c>
      <c r="T73" t="s">
        <v>1375</v>
      </c>
      <c r="U73" t="s">
        <v>74</v>
      </c>
      <c r="V73" t="s">
        <v>1376</v>
      </c>
      <c r="W73" t="s">
        <v>1377</v>
      </c>
      <c r="X73" t="s">
        <v>1068</v>
      </c>
      <c r="Y73" t="s">
        <v>1378</v>
      </c>
      <c r="Z73" t="s">
        <v>1379</v>
      </c>
      <c r="AA73" t="s">
        <v>74</v>
      </c>
      <c r="AB73" t="s">
        <v>1380</v>
      </c>
      <c r="AC73" t="s">
        <v>74</v>
      </c>
      <c r="AD73" t="s">
        <v>74</v>
      </c>
      <c r="AE73" t="s">
        <v>74</v>
      </c>
      <c r="AF73" t="s">
        <v>74</v>
      </c>
      <c r="AG73">
        <v>4</v>
      </c>
      <c r="AH73">
        <v>3</v>
      </c>
      <c r="AI73">
        <v>3</v>
      </c>
      <c r="AJ73">
        <v>0</v>
      </c>
      <c r="AK73">
        <v>2</v>
      </c>
      <c r="AL73" t="s">
        <v>1354</v>
      </c>
      <c r="AM73" t="s">
        <v>1355</v>
      </c>
      <c r="AN73" t="s">
        <v>1356</v>
      </c>
      <c r="AO73" t="s">
        <v>1357</v>
      </c>
      <c r="AP73" t="s">
        <v>74</v>
      </c>
      <c r="AQ73" t="s">
        <v>1381</v>
      </c>
      <c r="AR73" t="s">
        <v>1382</v>
      </c>
      <c r="AS73" t="s">
        <v>74</v>
      </c>
      <c r="AT73" t="s">
        <v>74</v>
      </c>
      <c r="AU73">
        <v>2008</v>
      </c>
      <c r="AV73">
        <v>7019</v>
      </c>
      <c r="AW73" t="s">
        <v>74</v>
      </c>
      <c r="AX73" t="s">
        <v>551</v>
      </c>
      <c r="AY73" t="s">
        <v>74</v>
      </c>
      <c r="AZ73" t="s">
        <v>74</v>
      </c>
      <c r="BA73" t="s">
        <v>74</v>
      </c>
      <c r="BB73" t="s">
        <v>74</v>
      </c>
      <c r="BC73" t="s">
        <v>74</v>
      </c>
      <c r="BD73" t="s">
        <v>1383</v>
      </c>
      <c r="BE73" t="s">
        <v>1384</v>
      </c>
      <c r="BF73" t="str">
        <f>HYPERLINK("http://dx.doi.org/10.1117/12.788557","http://dx.doi.org/10.1117/12.788557")</f>
        <v>http://dx.doi.org/10.1117/12.788557</v>
      </c>
      <c r="BG73" t="s">
        <v>74</v>
      </c>
      <c r="BH73" t="s">
        <v>74</v>
      </c>
      <c r="BI73">
        <v>10</v>
      </c>
      <c r="BJ73" t="s">
        <v>1385</v>
      </c>
      <c r="BK73" t="s">
        <v>842</v>
      </c>
      <c r="BL73" t="s">
        <v>1385</v>
      </c>
      <c r="BM73" t="s">
        <v>1386</v>
      </c>
      <c r="BN73" t="s">
        <v>74</v>
      </c>
      <c r="BO73" t="s">
        <v>1050</v>
      </c>
      <c r="BP73" t="s">
        <v>74</v>
      </c>
      <c r="BQ73" t="s">
        <v>74</v>
      </c>
      <c r="BR73" t="s">
        <v>100</v>
      </c>
      <c r="BS73" t="s">
        <v>1387</v>
      </c>
      <c r="BT73" t="str">
        <f>HYPERLINK("https%3A%2F%2Fwww.webofscience.com%2Fwos%2Fwoscc%2Ffull-record%2FWOS:000261330600095","View Full Record in Web of Science")</f>
        <v>View Full Record in Web of Science</v>
      </c>
    </row>
    <row r="74" spans="1:72" x14ac:dyDescent="0.15">
      <c r="A74" t="s">
        <v>72</v>
      </c>
      <c r="B74" t="s">
        <v>1388</v>
      </c>
      <c r="C74" t="s">
        <v>74</v>
      </c>
      <c r="D74" t="s">
        <v>74</v>
      </c>
      <c r="E74" t="s">
        <v>74</v>
      </c>
      <c r="F74" t="s">
        <v>1389</v>
      </c>
      <c r="G74" t="s">
        <v>74</v>
      </c>
      <c r="H74" t="s">
        <v>74</v>
      </c>
      <c r="I74" t="s">
        <v>1390</v>
      </c>
      <c r="J74" t="s">
        <v>1391</v>
      </c>
      <c r="K74" t="s">
        <v>74</v>
      </c>
      <c r="L74" t="s">
        <v>74</v>
      </c>
      <c r="M74" t="s">
        <v>78</v>
      </c>
      <c r="N74" t="s">
        <v>79</v>
      </c>
      <c r="O74" t="s">
        <v>74</v>
      </c>
      <c r="P74" t="s">
        <v>74</v>
      </c>
      <c r="Q74" t="s">
        <v>74</v>
      </c>
      <c r="R74" t="s">
        <v>74</v>
      </c>
      <c r="S74" t="s">
        <v>74</v>
      </c>
      <c r="T74" t="s">
        <v>1392</v>
      </c>
      <c r="U74" t="s">
        <v>74</v>
      </c>
      <c r="V74" t="s">
        <v>1393</v>
      </c>
      <c r="W74" t="s">
        <v>1394</v>
      </c>
      <c r="X74" t="s">
        <v>1395</v>
      </c>
      <c r="Y74" t="s">
        <v>1396</v>
      </c>
      <c r="Z74" t="s">
        <v>1397</v>
      </c>
      <c r="AA74" t="s">
        <v>1398</v>
      </c>
      <c r="AB74" t="s">
        <v>1399</v>
      </c>
      <c r="AC74" t="s">
        <v>74</v>
      </c>
      <c r="AD74" t="s">
        <v>74</v>
      </c>
      <c r="AE74" t="s">
        <v>74</v>
      </c>
      <c r="AF74" t="s">
        <v>74</v>
      </c>
      <c r="AG74">
        <v>6</v>
      </c>
      <c r="AH74">
        <v>5</v>
      </c>
      <c r="AI74">
        <v>5</v>
      </c>
      <c r="AJ74">
        <v>0</v>
      </c>
      <c r="AK74">
        <v>1</v>
      </c>
      <c r="AL74" t="s">
        <v>1400</v>
      </c>
      <c r="AM74" t="s">
        <v>522</v>
      </c>
      <c r="AN74" t="s">
        <v>1401</v>
      </c>
      <c r="AO74" t="s">
        <v>1402</v>
      </c>
      <c r="AP74" t="s">
        <v>74</v>
      </c>
      <c r="AQ74" t="s">
        <v>74</v>
      </c>
      <c r="AR74" t="s">
        <v>1403</v>
      </c>
      <c r="AS74" t="s">
        <v>1404</v>
      </c>
      <c r="AT74" t="s">
        <v>74</v>
      </c>
      <c r="AU74">
        <v>2008</v>
      </c>
      <c r="AV74">
        <v>41</v>
      </c>
      <c r="AW74">
        <v>1</v>
      </c>
      <c r="AX74" t="s">
        <v>74</v>
      </c>
      <c r="AY74" t="s">
        <v>74</v>
      </c>
      <c r="AZ74" t="s">
        <v>74</v>
      </c>
      <c r="BA74" t="s">
        <v>74</v>
      </c>
      <c r="BB74">
        <v>223</v>
      </c>
      <c r="BC74">
        <v>226</v>
      </c>
      <c r="BD74" t="s">
        <v>74</v>
      </c>
      <c r="BE74" t="s">
        <v>1405</v>
      </c>
      <c r="BF74" t="str">
        <f>HYPERLINK("http://dx.doi.org/10.1016/j.asr.2007.01.046","http://dx.doi.org/10.1016/j.asr.2007.01.046")</f>
        <v>http://dx.doi.org/10.1016/j.asr.2007.01.046</v>
      </c>
      <c r="BG74" t="s">
        <v>74</v>
      </c>
      <c r="BH74" t="s">
        <v>74</v>
      </c>
      <c r="BI74">
        <v>4</v>
      </c>
      <c r="BJ74" t="s">
        <v>1406</v>
      </c>
      <c r="BK74" t="s">
        <v>97</v>
      </c>
      <c r="BL74" t="s">
        <v>1407</v>
      </c>
      <c r="BM74" t="s">
        <v>1408</v>
      </c>
      <c r="BN74" t="s">
        <v>74</v>
      </c>
      <c r="BO74" t="s">
        <v>74</v>
      </c>
      <c r="BP74" t="s">
        <v>74</v>
      </c>
      <c r="BQ74" t="s">
        <v>74</v>
      </c>
      <c r="BR74" t="s">
        <v>100</v>
      </c>
      <c r="BS74" t="s">
        <v>1409</v>
      </c>
      <c r="BT74" t="str">
        <f>HYPERLINK("https%3A%2F%2Fwww.webofscience.com%2Fwos%2Fwoscc%2Ffull-record%2FWOS:000253590400029","View Full Record in Web of Science")</f>
        <v>View Full Record in Web of Science</v>
      </c>
    </row>
    <row r="75" spans="1:72" x14ac:dyDescent="0.15">
      <c r="A75" t="s">
        <v>72</v>
      </c>
      <c r="B75" t="s">
        <v>1410</v>
      </c>
      <c r="C75" t="s">
        <v>74</v>
      </c>
      <c r="D75" t="s">
        <v>74</v>
      </c>
      <c r="E75" t="s">
        <v>74</v>
      </c>
      <c r="F75" t="s">
        <v>1411</v>
      </c>
      <c r="G75" t="s">
        <v>74</v>
      </c>
      <c r="H75" t="s">
        <v>74</v>
      </c>
      <c r="I75" t="s">
        <v>1412</v>
      </c>
      <c r="J75" t="s">
        <v>1413</v>
      </c>
      <c r="K75" t="s">
        <v>74</v>
      </c>
      <c r="L75" t="s">
        <v>74</v>
      </c>
      <c r="M75" t="s">
        <v>78</v>
      </c>
      <c r="N75" t="s">
        <v>79</v>
      </c>
      <c r="O75" t="s">
        <v>74</v>
      </c>
      <c r="P75" t="s">
        <v>74</v>
      </c>
      <c r="Q75" t="s">
        <v>74</v>
      </c>
      <c r="R75" t="s">
        <v>74</v>
      </c>
      <c r="S75" t="s">
        <v>74</v>
      </c>
      <c r="T75" t="s">
        <v>1414</v>
      </c>
      <c r="U75" t="s">
        <v>1415</v>
      </c>
      <c r="V75" t="s">
        <v>1416</v>
      </c>
      <c r="W75" t="s">
        <v>1417</v>
      </c>
      <c r="X75" t="s">
        <v>1418</v>
      </c>
      <c r="Y75" t="s">
        <v>1419</v>
      </c>
      <c r="Z75" t="s">
        <v>1420</v>
      </c>
      <c r="AA75" t="s">
        <v>74</v>
      </c>
      <c r="AB75" t="s">
        <v>74</v>
      </c>
      <c r="AC75" t="s">
        <v>74</v>
      </c>
      <c r="AD75" t="s">
        <v>74</v>
      </c>
      <c r="AE75" t="s">
        <v>74</v>
      </c>
      <c r="AF75" t="s">
        <v>74</v>
      </c>
      <c r="AG75">
        <v>57</v>
      </c>
      <c r="AH75">
        <v>18</v>
      </c>
      <c r="AI75">
        <v>22</v>
      </c>
      <c r="AJ75">
        <v>1</v>
      </c>
      <c r="AK75">
        <v>11</v>
      </c>
      <c r="AL75" t="s">
        <v>1331</v>
      </c>
      <c r="AM75" t="s">
        <v>1421</v>
      </c>
      <c r="AN75" t="s">
        <v>1422</v>
      </c>
      <c r="AO75" t="s">
        <v>1423</v>
      </c>
      <c r="AP75" t="s">
        <v>74</v>
      </c>
      <c r="AQ75" t="s">
        <v>74</v>
      </c>
      <c r="AR75" t="s">
        <v>1413</v>
      </c>
      <c r="AS75" t="s">
        <v>1424</v>
      </c>
      <c r="AT75" t="s">
        <v>74</v>
      </c>
      <c r="AU75">
        <v>2008</v>
      </c>
      <c r="AV75">
        <v>32</v>
      </c>
      <c r="AW75">
        <v>3</v>
      </c>
      <c r="AX75" t="s">
        <v>74</v>
      </c>
      <c r="AY75" t="s">
        <v>74</v>
      </c>
      <c r="AZ75" t="s">
        <v>74</v>
      </c>
      <c r="BA75" t="s">
        <v>74</v>
      </c>
      <c r="BB75">
        <v>321</v>
      </c>
      <c r="BC75">
        <v>336</v>
      </c>
      <c r="BD75" t="s">
        <v>74</v>
      </c>
      <c r="BE75" t="s">
        <v>1425</v>
      </c>
      <c r="BF75" t="str">
        <f>HYPERLINK("http://dx.doi.org/10.1080/03115510802104368","http://dx.doi.org/10.1080/03115510802104368")</f>
        <v>http://dx.doi.org/10.1080/03115510802104368</v>
      </c>
      <c r="BG75" t="s">
        <v>74</v>
      </c>
      <c r="BH75" t="s">
        <v>74</v>
      </c>
      <c r="BI75">
        <v>16</v>
      </c>
      <c r="BJ75" t="s">
        <v>1426</v>
      </c>
      <c r="BK75" t="s">
        <v>97</v>
      </c>
      <c r="BL75" t="s">
        <v>1426</v>
      </c>
      <c r="BM75" t="s">
        <v>1427</v>
      </c>
      <c r="BN75" t="s">
        <v>74</v>
      </c>
      <c r="BO75" t="s">
        <v>74</v>
      </c>
      <c r="BP75" t="s">
        <v>74</v>
      </c>
      <c r="BQ75" t="s">
        <v>74</v>
      </c>
      <c r="BR75" t="s">
        <v>100</v>
      </c>
      <c r="BS75" t="s">
        <v>1428</v>
      </c>
      <c r="BT75" t="str">
        <f>HYPERLINK("https%3A%2F%2Fwww.webofscience.com%2Fwos%2Fwoscc%2Ffull-record%2FWOS:000258403800007","View Full Record in Web of Science")</f>
        <v>View Full Record in Web of Science</v>
      </c>
    </row>
    <row r="76" spans="1:72" x14ac:dyDescent="0.15">
      <c r="A76" t="s">
        <v>816</v>
      </c>
      <c r="B76" t="s">
        <v>1429</v>
      </c>
      <c r="C76" t="s">
        <v>74</v>
      </c>
      <c r="D76" t="s">
        <v>1430</v>
      </c>
      <c r="E76" t="s">
        <v>74</v>
      </c>
      <c r="F76" t="s">
        <v>1431</v>
      </c>
      <c r="G76" t="s">
        <v>74</v>
      </c>
      <c r="H76" t="s">
        <v>74</v>
      </c>
      <c r="I76" t="s">
        <v>1432</v>
      </c>
      <c r="J76" t="s">
        <v>1433</v>
      </c>
      <c r="K76" t="s">
        <v>1434</v>
      </c>
      <c r="L76" t="s">
        <v>74</v>
      </c>
      <c r="M76" t="s">
        <v>78</v>
      </c>
      <c r="N76" t="s">
        <v>823</v>
      </c>
      <c r="O76" t="s">
        <v>1435</v>
      </c>
      <c r="P76" t="s">
        <v>1436</v>
      </c>
      <c r="Q76" t="s">
        <v>1437</v>
      </c>
      <c r="R76" t="s">
        <v>74</v>
      </c>
      <c r="S76" t="s">
        <v>74</v>
      </c>
      <c r="T76" t="s">
        <v>1438</v>
      </c>
      <c r="U76" t="s">
        <v>1439</v>
      </c>
      <c r="V76" t="s">
        <v>1440</v>
      </c>
      <c r="W76" t="s">
        <v>1441</v>
      </c>
      <c r="X76" t="s">
        <v>1442</v>
      </c>
      <c r="Y76" t="s">
        <v>1443</v>
      </c>
      <c r="Z76" t="s">
        <v>1444</v>
      </c>
      <c r="AA76" t="s">
        <v>1445</v>
      </c>
      <c r="AB76" t="s">
        <v>74</v>
      </c>
      <c r="AC76" t="s">
        <v>74</v>
      </c>
      <c r="AD76" t="s">
        <v>74</v>
      </c>
      <c r="AE76" t="s">
        <v>74</v>
      </c>
      <c r="AF76" t="s">
        <v>74</v>
      </c>
      <c r="AG76">
        <v>221</v>
      </c>
      <c r="AH76">
        <v>31</v>
      </c>
      <c r="AI76">
        <v>33</v>
      </c>
      <c r="AJ76">
        <v>0</v>
      </c>
      <c r="AK76">
        <v>42</v>
      </c>
      <c r="AL76" t="s">
        <v>1265</v>
      </c>
      <c r="AM76" t="s">
        <v>1317</v>
      </c>
      <c r="AN76" t="s">
        <v>1318</v>
      </c>
      <c r="AO76" t="s">
        <v>1446</v>
      </c>
      <c r="AP76" t="s">
        <v>74</v>
      </c>
      <c r="AQ76" t="s">
        <v>1447</v>
      </c>
      <c r="AR76" t="s">
        <v>1448</v>
      </c>
      <c r="AS76" t="s">
        <v>1449</v>
      </c>
      <c r="AT76" t="s">
        <v>74</v>
      </c>
      <c r="AU76">
        <v>2008</v>
      </c>
      <c r="AV76" t="s">
        <v>74</v>
      </c>
      <c r="AW76" t="s">
        <v>74</v>
      </c>
      <c r="AX76" t="s">
        <v>74</v>
      </c>
      <c r="AY76" t="s">
        <v>74</v>
      </c>
      <c r="AZ76" t="s">
        <v>74</v>
      </c>
      <c r="BA76" t="s">
        <v>74</v>
      </c>
      <c r="BB76">
        <v>353</v>
      </c>
      <c r="BC76" t="s">
        <v>865</v>
      </c>
      <c r="BD76" t="s">
        <v>74</v>
      </c>
      <c r="BE76" t="s">
        <v>1450</v>
      </c>
      <c r="BF76" t="str">
        <f>HYPERLINK("http://dx.doi.org/10.1007/978-1-4020-8480-5_17","http://dx.doi.org/10.1007/978-1-4020-8480-5_17")</f>
        <v>http://dx.doi.org/10.1007/978-1-4020-8480-5_17</v>
      </c>
      <c r="BG76" t="s">
        <v>74</v>
      </c>
      <c r="BH76" t="s">
        <v>74</v>
      </c>
      <c r="BI76">
        <v>14</v>
      </c>
      <c r="BJ76" t="s">
        <v>1451</v>
      </c>
      <c r="BK76" t="s">
        <v>842</v>
      </c>
      <c r="BL76" t="s">
        <v>1451</v>
      </c>
      <c r="BM76" t="s">
        <v>1452</v>
      </c>
      <c r="BN76" t="s">
        <v>74</v>
      </c>
      <c r="BO76" t="s">
        <v>74</v>
      </c>
      <c r="BP76" t="s">
        <v>74</v>
      </c>
      <c r="BQ76" t="s">
        <v>74</v>
      </c>
      <c r="BR76" t="s">
        <v>100</v>
      </c>
      <c r="BS76" t="s">
        <v>1453</v>
      </c>
      <c r="BT76" t="str">
        <f>HYPERLINK("https%3A%2F%2Fwww.webofscience.com%2Fwos%2Fwoscc%2Ffull-record%2FWOS:000258328700017","View Full Record in Web of Science")</f>
        <v>View Full Record in Web of Science</v>
      </c>
    </row>
    <row r="77" spans="1:72" x14ac:dyDescent="0.15">
      <c r="A77" t="s">
        <v>72</v>
      </c>
      <c r="B77" t="s">
        <v>1454</v>
      </c>
      <c r="C77" t="s">
        <v>74</v>
      </c>
      <c r="D77" t="s">
        <v>74</v>
      </c>
      <c r="E77" t="s">
        <v>74</v>
      </c>
      <c r="F77" t="s">
        <v>1455</v>
      </c>
      <c r="G77" t="s">
        <v>74</v>
      </c>
      <c r="H77" t="s">
        <v>74</v>
      </c>
      <c r="I77" t="s">
        <v>1456</v>
      </c>
      <c r="J77" t="s">
        <v>1457</v>
      </c>
      <c r="K77" t="s">
        <v>74</v>
      </c>
      <c r="L77" t="s">
        <v>74</v>
      </c>
      <c r="M77" t="s">
        <v>78</v>
      </c>
      <c r="N77" t="s">
        <v>79</v>
      </c>
      <c r="O77" t="s">
        <v>74</v>
      </c>
      <c r="P77" t="s">
        <v>74</v>
      </c>
      <c r="Q77" t="s">
        <v>74</v>
      </c>
      <c r="R77" t="s">
        <v>74</v>
      </c>
      <c r="S77" t="s">
        <v>74</v>
      </c>
      <c r="T77" t="s">
        <v>74</v>
      </c>
      <c r="U77" t="s">
        <v>1458</v>
      </c>
      <c r="V77" t="s">
        <v>1459</v>
      </c>
      <c r="W77" t="s">
        <v>1460</v>
      </c>
      <c r="X77" t="s">
        <v>1461</v>
      </c>
      <c r="Y77" t="s">
        <v>1462</v>
      </c>
      <c r="Z77" t="s">
        <v>1463</v>
      </c>
      <c r="AA77" t="s">
        <v>1464</v>
      </c>
      <c r="AB77" t="s">
        <v>1465</v>
      </c>
      <c r="AC77" t="s">
        <v>74</v>
      </c>
      <c r="AD77" t="s">
        <v>74</v>
      </c>
      <c r="AE77" t="s">
        <v>74</v>
      </c>
      <c r="AF77" t="s">
        <v>74</v>
      </c>
      <c r="AG77">
        <v>33</v>
      </c>
      <c r="AH77">
        <v>32</v>
      </c>
      <c r="AI77">
        <v>32</v>
      </c>
      <c r="AJ77">
        <v>1</v>
      </c>
      <c r="AK77">
        <v>27</v>
      </c>
      <c r="AL77" t="s">
        <v>1466</v>
      </c>
      <c r="AM77" t="s">
        <v>1467</v>
      </c>
      <c r="AN77" t="s">
        <v>1468</v>
      </c>
      <c r="AO77" t="s">
        <v>1469</v>
      </c>
      <c r="AP77" t="s">
        <v>1470</v>
      </c>
      <c r="AQ77" t="s">
        <v>74</v>
      </c>
      <c r="AR77" t="s">
        <v>1457</v>
      </c>
      <c r="AS77" t="s">
        <v>1471</v>
      </c>
      <c r="AT77" t="s">
        <v>74</v>
      </c>
      <c r="AU77">
        <v>2008</v>
      </c>
      <c r="AV77">
        <v>133</v>
      </c>
      <c r="AW77">
        <v>10</v>
      </c>
      <c r="AX77" t="s">
        <v>74</v>
      </c>
      <c r="AY77" t="s">
        <v>74</v>
      </c>
      <c r="AZ77" t="s">
        <v>74</v>
      </c>
      <c r="BA77" t="s">
        <v>74</v>
      </c>
      <c r="BB77">
        <v>1388</v>
      </c>
      <c r="BC77">
        <v>1394</v>
      </c>
      <c r="BD77" t="s">
        <v>74</v>
      </c>
      <c r="BE77" t="s">
        <v>1472</v>
      </c>
      <c r="BF77" t="str">
        <f>HYPERLINK("http://dx.doi.org/10.1039/b804043e","http://dx.doi.org/10.1039/b804043e")</f>
        <v>http://dx.doi.org/10.1039/b804043e</v>
      </c>
      <c r="BG77" t="s">
        <v>74</v>
      </c>
      <c r="BH77" t="s">
        <v>74</v>
      </c>
      <c r="BI77">
        <v>7</v>
      </c>
      <c r="BJ77" t="s">
        <v>1473</v>
      </c>
      <c r="BK77" t="s">
        <v>97</v>
      </c>
      <c r="BL77" t="s">
        <v>469</v>
      </c>
      <c r="BM77" t="s">
        <v>1474</v>
      </c>
      <c r="BN77">
        <v>18810287</v>
      </c>
      <c r="BO77" t="s">
        <v>74</v>
      </c>
      <c r="BP77" t="s">
        <v>74</v>
      </c>
      <c r="BQ77" t="s">
        <v>74</v>
      </c>
      <c r="BR77" t="s">
        <v>100</v>
      </c>
      <c r="BS77" t="s">
        <v>1475</v>
      </c>
      <c r="BT77" t="str">
        <f>HYPERLINK("https%3A%2F%2Fwww.webofscience.com%2Fwos%2Fwoscc%2Ffull-record%2FWOS:000259392900011","View Full Record in Web of Science")</f>
        <v>View Full Record in Web of Science</v>
      </c>
    </row>
    <row r="78" spans="1:72" x14ac:dyDescent="0.15">
      <c r="A78" t="s">
        <v>72</v>
      </c>
      <c r="B78" t="s">
        <v>1476</v>
      </c>
      <c r="C78" t="s">
        <v>74</v>
      </c>
      <c r="D78" t="s">
        <v>74</v>
      </c>
      <c r="E78" t="s">
        <v>74</v>
      </c>
      <c r="F78" t="s">
        <v>1477</v>
      </c>
      <c r="G78" t="s">
        <v>74</v>
      </c>
      <c r="H78" t="s">
        <v>74</v>
      </c>
      <c r="I78" t="s">
        <v>1478</v>
      </c>
      <c r="J78" t="s">
        <v>1479</v>
      </c>
      <c r="K78" t="s">
        <v>74</v>
      </c>
      <c r="L78" t="s">
        <v>74</v>
      </c>
      <c r="M78" t="s">
        <v>78</v>
      </c>
      <c r="N78" t="s">
        <v>79</v>
      </c>
      <c r="O78" t="s">
        <v>74</v>
      </c>
      <c r="P78" t="s">
        <v>74</v>
      </c>
      <c r="Q78" t="s">
        <v>74</v>
      </c>
      <c r="R78" t="s">
        <v>74</v>
      </c>
      <c r="S78" t="s">
        <v>74</v>
      </c>
      <c r="T78" t="s">
        <v>1480</v>
      </c>
      <c r="U78" t="s">
        <v>1481</v>
      </c>
      <c r="V78" t="s">
        <v>1482</v>
      </c>
      <c r="W78" t="s">
        <v>1483</v>
      </c>
      <c r="X78" t="s">
        <v>1484</v>
      </c>
      <c r="Y78" t="s">
        <v>1485</v>
      </c>
      <c r="Z78" t="s">
        <v>1486</v>
      </c>
      <c r="AA78" t="s">
        <v>74</v>
      </c>
      <c r="AB78" t="s">
        <v>74</v>
      </c>
      <c r="AC78" t="s">
        <v>74</v>
      </c>
      <c r="AD78" t="s">
        <v>74</v>
      </c>
      <c r="AE78" t="s">
        <v>74</v>
      </c>
      <c r="AF78" t="s">
        <v>74</v>
      </c>
      <c r="AG78">
        <v>28</v>
      </c>
      <c r="AH78">
        <v>7</v>
      </c>
      <c r="AI78">
        <v>7</v>
      </c>
      <c r="AJ78">
        <v>0</v>
      </c>
      <c r="AK78">
        <v>15</v>
      </c>
      <c r="AL78" t="s">
        <v>1240</v>
      </c>
      <c r="AM78" t="s">
        <v>1241</v>
      </c>
      <c r="AN78" t="s">
        <v>1242</v>
      </c>
      <c r="AO78" t="s">
        <v>1487</v>
      </c>
      <c r="AP78" t="s">
        <v>74</v>
      </c>
      <c r="AQ78" t="s">
        <v>74</v>
      </c>
      <c r="AR78" t="s">
        <v>1488</v>
      </c>
      <c r="AS78" t="s">
        <v>1489</v>
      </c>
      <c r="AT78" t="s">
        <v>1490</v>
      </c>
      <c r="AU78">
        <v>2008</v>
      </c>
      <c r="AV78">
        <v>390</v>
      </c>
      <c r="AW78">
        <v>2</v>
      </c>
      <c r="AX78" t="s">
        <v>74</v>
      </c>
      <c r="AY78" t="s">
        <v>74</v>
      </c>
      <c r="AZ78" t="s">
        <v>74</v>
      </c>
      <c r="BA78" t="s">
        <v>74</v>
      </c>
      <c r="BB78">
        <v>495</v>
      </c>
      <c r="BC78">
        <v>501</v>
      </c>
      <c r="BD78" t="s">
        <v>74</v>
      </c>
      <c r="BE78" t="s">
        <v>1491</v>
      </c>
      <c r="BF78" t="str">
        <f>HYPERLINK("http://dx.doi.org/10.1007/s00216-007-1729-6","http://dx.doi.org/10.1007/s00216-007-1729-6")</f>
        <v>http://dx.doi.org/10.1007/s00216-007-1729-6</v>
      </c>
      <c r="BG78" t="s">
        <v>74</v>
      </c>
      <c r="BH78" t="s">
        <v>74</v>
      </c>
      <c r="BI78">
        <v>7</v>
      </c>
      <c r="BJ78" t="s">
        <v>1492</v>
      </c>
      <c r="BK78" t="s">
        <v>97</v>
      </c>
      <c r="BL78" t="s">
        <v>1493</v>
      </c>
      <c r="BM78" t="s">
        <v>1494</v>
      </c>
      <c r="BN78">
        <v>18176849</v>
      </c>
      <c r="BO78" t="s">
        <v>74</v>
      </c>
      <c r="BP78" t="s">
        <v>74</v>
      </c>
      <c r="BQ78" t="s">
        <v>74</v>
      </c>
      <c r="BR78" t="s">
        <v>100</v>
      </c>
      <c r="BS78" t="s">
        <v>1495</v>
      </c>
      <c r="BT78" t="str">
        <f>HYPERLINK("https%3A%2F%2Fwww.webofscience.com%2Fwos%2Fwoscc%2Ffull-record%2FWOS:000252170400008","View Full Record in Web of Science")</f>
        <v>View Full Record in Web of Science</v>
      </c>
    </row>
    <row r="79" spans="1:72" x14ac:dyDescent="0.15">
      <c r="A79" t="s">
        <v>72</v>
      </c>
      <c r="B79" t="s">
        <v>1496</v>
      </c>
      <c r="C79" t="s">
        <v>74</v>
      </c>
      <c r="D79" t="s">
        <v>74</v>
      </c>
      <c r="E79" t="s">
        <v>74</v>
      </c>
      <c r="F79" t="s">
        <v>1497</v>
      </c>
      <c r="G79" t="s">
        <v>74</v>
      </c>
      <c r="H79" t="s">
        <v>74</v>
      </c>
      <c r="I79" t="s">
        <v>1498</v>
      </c>
      <c r="J79" t="s">
        <v>1499</v>
      </c>
      <c r="K79" t="s">
        <v>74</v>
      </c>
      <c r="L79" t="s">
        <v>74</v>
      </c>
      <c r="M79" t="s">
        <v>78</v>
      </c>
      <c r="N79" t="s">
        <v>438</v>
      </c>
      <c r="O79" t="s">
        <v>74</v>
      </c>
      <c r="P79" t="s">
        <v>74</v>
      </c>
      <c r="Q79" t="s">
        <v>74</v>
      </c>
      <c r="R79" t="s">
        <v>74</v>
      </c>
      <c r="S79" t="s">
        <v>74</v>
      </c>
      <c r="T79" t="s">
        <v>1500</v>
      </c>
      <c r="U79" t="s">
        <v>1501</v>
      </c>
      <c r="V79" t="s">
        <v>74</v>
      </c>
      <c r="W79" t="s">
        <v>1502</v>
      </c>
      <c r="X79" t="s">
        <v>1503</v>
      </c>
      <c r="Y79" t="s">
        <v>1504</v>
      </c>
      <c r="Z79" t="s">
        <v>1505</v>
      </c>
      <c r="AA79" t="s">
        <v>1506</v>
      </c>
      <c r="AB79" t="s">
        <v>1507</v>
      </c>
      <c r="AC79" t="s">
        <v>74</v>
      </c>
      <c r="AD79" t="s">
        <v>74</v>
      </c>
      <c r="AE79" t="s">
        <v>74</v>
      </c>
      <c r="AF79" t="s">
        <v>74</v>
      </c>
      <c r="AG79">
        <v>19</v>
      </c>
      <c r="AH79">
        <v>15</v>
      </c>
      <c r="AI79">
        <v>18</v>
      </c>
      <c r="AJ79">
        <v>1</v>
      </c>
      <c r="AK79">
        <v>36</v>
      </c>
      <c r="AL79" t="s">
        <v>1508</v>
      </c>
      <c r="AM79" t="s">
        <v>118</v>
      </c>
      <c r="AN79" t="s">
        <v>1509</v>
      </c>
      <c r="AO79" t="s">
        <v>1510</v>
      </c>
      <c r="AP79" t="s">
        <v>74</v>
      </c>
      <c r="AQ79" t="s">
        <v>74</v>
      </c>
      <c r="AR79" t="s">
        <v>1511</v>
      </c>
      <c r="AS79" t="s">
        <v>1512</v>
      </c>
      <c r="AT79" t="s">
        <v>1490</v>
      </c>
      <c r="AU79">
        <v>2008</v>
      </c>
      <c r="AV79">
        <v>75</v>
      </c>
      <c r="AW79" t="s">
        <v>74</v>
      </c>
      <c r="AX79">
        <v>1</v>
      </c>
      <c r="AY79" t="s">
        <v>74</v>
      </c>
      <c r="AZ79" t="s">
        <v>74</v>
      </c>
      <c r="BA79" t="s">
        <v>74</v>
      </c>
      <c r="BB79" t="s">
        <v>1513</v>
      </c>
      <c r="BC79" t="s">
        <v>1514</v>
      </c>
      <c r="BD79" t="s">
        <v>74</v>
      </c>
      <c r="BE79" t="s">
        <v>1515</v>
      </c>
      <c r="BF79" t="str">
        <f>HYPERLINK("http://dx.doi.org/10.1016/j.anbehav.2007.08.011","http://dx.doi.org/10.1016/j.anbehav.2007.08.011")</f>
        <v>http://dx.doi.org/10.1016/j.anbehav.2007.08.011</v>
      </c>
      <c r="BG79" t="s">
        <v>74</v>
      </c>
      <c r="BH79" t="s">
        <v>74</v>
      </c>
      <c r="BI79">
        <v>3</v>
      </c>
      <c r="BJ79" t="s">
        <v>1516</v>
      </c>
      <c r="BK79" t="s">
        <v>97</v>
      </c>
      <c r="BL79" t="s">
        <v>1516</v>
      </c>
      <c r="BM79" t="s">
        <v>1517</v>
      </c>
      <c r="BN79" t="s">
        <v>74</v>
      </c>
      <c r="BO79" t="s">
        <v>74</v>
      </c>
      <c r="BP79" t="s">
        <v>74</v>
      </c>
      <c r="BQ79" t="s">
        <v>74</v>
      </c>
      <c r="BR79" t="s">
        <v>100</v>
      </c>
      <c r="BS79" t="s">
        <v>1518</v>
      </c>
      <c r="BT79" t="str">
        <f>HYPERLINK("https%3A%2F%2Fwww.webofscience.com%2Fwos%2Fwoscc%2Ffull-record%2FWOS:000252710000036","View Full Record in Web of Science")</f>
        <v>View Full Record in Web of Science</v>
      </c>
    </row>
    <row r="80" spans="1:72" x14ac:dyDescent="0.15">
      <c r="A80" t="s">
        <v>810</v>
      </c>
      <c r="B80" t="s">
        <v>1519</v>
      </c>
      <c r="C80" t="s">
        <v>74</v>
      </c>
      <c r="D80" t="s">
        <v>1520</v>
      </c>
      <c r="E80" t="s">
        <v>74</v>
      </c>
      <c r="F80" t="s">
        <v>1521</v>
      </c>
      <c r="G80" t="s">
        <v>74</v>
      </c>
      <c r="H80" t="s">
        <v>74</v>
      </c>
      <c r="I80" t="s">
        <v>1522</v>
      </c>
      <c r="J80" t="s">
        <v>1523</v>
      </c>
      <c r="K80" t="s">
        <v>74</v>
      </c>
      <c r="L80" t="s">
        <v>74</v>
      </c>
      <c r="M80" t="s">
        <v>78</v>
      </c>
      <c r="N80" t="s">
        <v>1524</v>
      </c>
      <c r="O80" t="s">
        <v>74</v>
      </c>
      <c r="P80" t="s">
        <v>74</v>
      </c>
      <c r="Q80" t="s">
        <v>74</v>
      </c>
      <c r="R80" t="s">
        <v>74</v>
      </c>
      <c r="S80" t="s">
        <v>74</v>
      </c>
      <c r="T80" t="s">
        <v>74</v>
      </c>
      <c r="U80" t="s">
        <v>1525</v>
      </c>
      <c r="V80" t="s">
        <v>74</v>
      </c>
      <c r="W80" t="s">
        <v>1526</v>
      </c>
      <c r="X80" t="s">
        <v>1527</v>
      </c>
      <c r="Y80" t="s">
        <v>1528</v>
      </c>
      <c r="Z80" t="s">
        <v>74</v>
      </c>
      <c r="AA80" t="s">
        <v>1529</v>
      </c>
      <c r="AB80" t="s">
        <v>1530</v>
      </c>
      <c r="AC80" t="s">
        <v>74</v>
      </c>
      <c r="AD80" t="s">
        <v>74</v>
      </c>
      <c r="AE80" t="s">
        <v>74</v>
      </c>
      <c r="AF80" t="s">
        <v>74</v>
      </c>
      <c r="AG80">
        <v>70</v>
      </c>
      <c r="AH80">
        <v>1</v>
      </c>
      <c r="AI80">
        <v>1</v>
      </c>
      <c r="AJ80">
        <v>0</v>
      </c>
      <c r="AK80">
        <v>6</v>
      </c>
      <c r="AL80" t="s">
        <v>1531</v>
      </c>
      <c r="AM80" t="s">
        <v>1532</v>
      </c>
      <c r="AN80" t="s">
        <v>1533</v>
      </c>
      <c r="AO80" t="s">
        <v>74</v>
      </c>
      <c r="AP80" t="s">
        <v>74</v>
      </c>
      <c r="AQ80" t="s">
        <v>1534</v>
      </c>
      <c r="AR80" t="s">
        <v>74</v>
      </c>
      <c r="AS80" t="s">
        <v>74</v>
      </c>
      <c r="AT80" t="s">
        <v>74</v>
      </c>
      <c r="AU80">
        <v>2008</v>
      </c>
      <c r="AV80" t="s">
        <v>74</v>
      </c>
      <c r="AW80" t="s">
        <v>74</v>
      </c>
      <c r="AX80" t="s">
        <v>74</v>
      </c>
      <c r="AY80" t="s">
        <v>74</v>
      </c>
      <c r="AZ80" t="s">
        <v>74</v>
      </c>
      <c r="BA80" t="s">
        <v>74</v>
      </c>
      <c r="BB80">
        <v>48</v>
      </c>
      <c r="BC80">
        <v>56</v>
      </c>
      <c r="BD80" t="s">
        <v>74</v>
      </c>
      <c r="BE80" t="s">
        <v>1535</v>
      </c>
      <c r="BF80" t="str">
        <f>HYPERLINK("http://dx.doi.org/10.1016/B978-0-12-374169-1.00005-9","http://dx.doi.org/10.1016/B978-0-12-374169-1.00005-9")</f>
        <v>http://dx.doi.org/10.1016/B978-0-12-374169-1.00005-9</v>
      </c>
      <c r="BG80" t="s">
        <v>74</v>
      </c>
      <c r="BH80" t="s">
        <v>74</v>
      </c>
      <c r="BI80">
        <v>9</v>
      </c>
      <c r="BJ80" t="s">
        <v>1536</v>
      </c>
      <c r="BK80" t="s">
        <v>1537</v>
      </c>
      <c r="BL80" t="s">
        <v>1536</v>
      </c>
      <c r="BM80" t="s">
        <v>1538</v>
      </c>
      <c r="BN80" t="s">
        <v>74</v>
      </c>
      <c r="BO80" t="s">
        <v>74</v>
      </c>
      <c r="BP80" t="s">
        <v>74</v>
      </c>
      <c r="BQ80" t="s">
        <v>74</v>
      </c>
      <c r="BR80" t="s">
        <v>100</v>
      </c>
      <c r="BS80" t="s">
        <v>1539</v>
      </c>
      <c r="BT80" t="str">
        <f>HYPERLINK("https%3A%2F%2Fwww.webofscience.com%2Fwos%2Fwoscc%2Ffull-record%2FWOS:000322011700006","View Full Record in Web of Science")</f>
        <v>View Full Record in Web of Science</v>
      </c>
    </row>
    <row r="81" spans="1:72" x14ac:dyDescent="0.15">
      <c r="A81" t="s">
        <v>72</v>
      </c>
      <c r="B81" t="s">
        <v>1540</v>
      </c>
      <c r="C81" t="s">
        <v>74</v>
      </c>
      <c r="D81" t="s">
        <v>74</v>
      </c>
      <c r="E81" t="s">
        <v>74</v>
      </c>
      <c r="F81" t="s">
        <v>1541</v>
      </c>
      <c r="G81" t="s">
        <v>74</v>
      </c>
      <c r="H81" t="s">
        <v>74</v>
      </c>
      <c r="I81" t="s">
        <v>1542</v>
      </c>
      <c r="J81" t="s">
        <v>1543</v>
      </c>
      <c r="K81" t="s">
        <v>74</v>
      </c>
      <c r="L81" t="s">
        <v>74</v>
      </c>
      <c r="M81" t="s">
        <v>78</v>
      </c>
      <c r="N81" t="s">
        <v>79</v>
      </c>
      <c r="O81" t="s">
        <v>74</v>
      </c>
      <c r="P81" t="s">
        <v>74</v>
      </c>
      <c r="Q81" t="s">
        <v>74</v>
      </c>
      <c r="R81" t="s">
        <v>74</v>
      </c>
      <c r="S81" t="s">
        <v>74</v>
      </c>
      <c r="T81" t="s">
        <v>1544</v>
      </c>
      <c r="U81" t="s">
        <v>1545</v>
      </c>
      <c r="V81" t="s">
        <v>1546</v>
      </c>
      <c r="W81" t="s">
        <v>1547</v>
      </c>
      <c r="X81" t="s">
        <v>1548</v>
      </c>
      <c r="Y81" t="s">
        <v>1549</v>
      </c>
      <c r="Z81" t="s">
        <v>1550</v>
      </c>
      <c r="AA81" t="s">
        <v>74</v>
      </c>
      <c r="AB81" t="s">
        <v>1551</v>
      </c>
      <c r="AC81" t="s">
        <v>74</v>
      </c>
      <c r="AD81" t="s">
        <v>74</v>
      </c>
      <c r="AE81" t="s">
        <v>74</v>
      </c>
      <c r="AF81" t="s">
        <v>74</v>
      </c>
      <c r="AG81">
        <v>26</v>
      </c>
      <c r="AH81">
        <v>13</v>
      </c>
      <c r="AI81">
        <v>14</v>
      </c>
      <c r="AJ81">
        <v>0</v>
      </c>
      <c r="AK81">
        <v>3</v>
      </c>
      <c r="AL81" t="s">
        <v>1552</v>
      </c>
      <c r="AM81" t="s">
        <v>1553</v>
      </c>
      <c r="AN81" t="s">
        <v>1554</v>
      </c>
      <c r="AO81" t="s">
        <v>1555</v>
      </c>
      <c r="AP81" t="s">
        <v>1556</v>
      </c>
      <c r="AQ81" t="s">
        <v>74</v>
      </c>
      <c r="AR81" t="s">
        <v>1557</v>
      </c>
      <c r="AS81" t="s">
        <v>1558</v>
      </c>
      <c r="AT81" t="s">
        <v>74</v>
      </c>
      <c r="AU81">
        <v>2008</v>
      </c>
      <c r="AV81">
        <v>26</v>
      </c>
      <c r="AW81">
        <v>1</v>
      </c>
      <c r="AX81" t="s">
        <v>74</v>
      </c>
      <c r="AY81" t="s">
        <v>74</v>
      </c>
      <c r="AZ81" t="s">
        <v>74</v>
      </c>
      <c r="BA81" t="s">
        <v>74</v>
      </c>
      <c r="BB81">
        <v>29</v>
      </c>
      <c r="BC81">
        <v>45</v>
      </c>
      <c r="BD81" t="s">
        <v>74</v>
      </c>
      <c r="BE81" t="s">
        <v>1559</v>
      </c>
      <c r="BF81" t="str">
        <f>HYPERLINK("http://dx.doi.org/10.5194/angeo-26-29-2008","http://dx.doi.org/10.5194/angeo-26-29-2008")</f>
        <v>http://dx.doi.org/10.5194/angeo-26-29-2008</v>
      </c>
      <c r="BG81" t="s">
        <v>74</v>
      </c>
      <c r="BH81" t="s">
        <v>74</v>
      </c>
      <c r="BI81">
        <v>17</v>
      </c>
      <c r="BJ81" t="s">
        <v>1560</v>
      </c>
      <c r="BK81" t="s">
        <v>97</v>
      </c>
      <c r="BL81" t="s">
        <v>1561</v>
      </c>
      <c r="BM81" t="s">
        <v>1562</v>
      </c>
      <c r="BN81" t="s">
        <v>74</v>
      </c>
      <c r="BO81" t="s">
        <v>1563</v>
      </c>
      <c r="BP81" t="s">
        <v>74</v>
      </c>
      <c r="BQ81" t="s">
        <v>74</v>
      </c>
      <c r="BR81" t="s">
        <v>100</v>
      </c>
      <c r="BS81" t="s">
        <v>1564</v>
      </c>
      <c r="BT81" t="str">
        <f>HYPERLINK("https%3A%2F%2Fwww.webofscience.com%2Fwos%2Fwoscc%2Ffull-record%2FWOS:000253672400004","View Full Record in Web of Science")</f>
        <v>View Full Record in Web of Science</v>
      </c>
    </row>
    <row r="82" spans="1:72" x14ac:dyDescent="0.15">
      <c r="A82" t="s">
        <v>72</v>
      </c>
      <c r="B82" t="s">
        <v>1565</v>
      </c>
      <c r="C82" t="s">
        <v>74</v>
      </c>
      <c r="D82" t="s">
        <v>74</v>
      </c>
      <c r="E82" t="s">
        <v>74</v>
      </c>
      <c r="F82" t="s">
        <v>1566</v>
      </c>
      <c r="G82" t="s">
        <v>74</v>
      </c>
      <c r="H82" t="s">
        <v>74</v>
      </c>
      <c r="I82" t="s">
        <v>1567</v>
      </c>
      <c r="J82" t="s">
        <v>1543</v>
      </c>
      <c r="K82" t="s">
        <v>74</v>
      </c>
      <c r="L82" t="s">
        <v>74</v>
      </c>
      <c r="M82" t="s">
        <v>78</v>
      </c>
      <c r="N82" t="s">
        <v>79</v>
      </c>
      <c r="O82" t="s">
        <v>74</v>
      </c>
      <c r="P82" t="s">
        <v>74</v>
      </c>
      <c r="Q82" t="s">
        <v>74</v>
      </c>
      <c r="R82" t="s">
        <v>74</v>
      </c>
      <c r="S82" t="s">
        <v>74</v>
      </c>
      <c r="T82" t="s">
        <v>1568</v>
      </c>
      <c r="U82" t="s">
        <v>1569</v>
      </c>
      <c r="V82" t="s">
        <v>1570</v>
      </c>
      <c r="W82" t="s">
        <v>1571</v>
      </c>
      <c r="X82" t="s">
        <v>1572</v>
      </c>
      <c r="Y82" t="s">
        <v>1573</v>
      </c>
      <c r="Z82" t="s">
        <v>1574</v>
      </c>
      <c r="AA82" t="s">
        <v>1575</v>
      </c>
      <c r="AB82" t="s">
        <v>1576</v>
      </c>
      <c r="AC82" t="s">
        <v>1577</v>
      </c>
      <c r="AD82" t="s">
        <v>1578</v>
      </c>
      <c r="AE82" t="s">
        <v>74</v>
      </c>
      <c r="AF82" t="s">
        <v>74</v>
      </c>
      <c r="AG82">
        <v>29</v>
      </c>
      <c r="AH82">
        <v>80</v>
      </c>
      <c r="AI82">
        <v>86</v>
      </c>
      <c r="AJ82">
        <v>0</v>
      </c>
      <c r="AK82">
        <v>7</v>
      </c>
      <c r="AL82" t="s">
        <v>1552</v>
      </c>
      <c r="AM82" t="s">
        <v>1553</v>
      </c>
      <c r="AN82" t="s">
        <v>1554</v>
      </c>
      <c r="AO82" t="s">
        <v>1555</v>
      </c>
      <c r="AP82" t="s">
        <v>1556</v>
      </c>
      <c r="AQ82" t="s">
        <v>74</v>
      </c>
      <c r="AR82" t="s">
        <v>1557</v>
      </c>
      <c r="AS82" t="s">
        <v>1558</v>
      </c>
      <c r="AT82" t="s">
        <v>74</v>
      </c>
      <c r="AU82">
        <v>2008</v>
      </c>
      <c r="AV82">
        <v>26</v>
      </c>
      <c r="AW82">
        <v>4</v>
      </c>
      <c r="AX82" t="s">
        <v>74</v>
      </c>
      <c r="AY82" t="s">
        <v>74</v>
      </c>
      <c r="AZ82" t="s">
        <v>74</v>
      </c>
      <c r="BA82" t="s">
        <v>74</v>
      </c>
      <c r="BB82">
        <v>823</v>
      </c>
      <c r="BC82">
        <v>841</v>
      </c>
      <c r="BD82" t="s">
        <v>74</v>
      </c>
      <c r="BE82" t="s">
        <v>1579</v>
      </c>
      <c r="BF82" t="str">
        <f>HYPERLINK("http://dx.doi.org/10.5194/angeo-26-823-2008","http://dx.doi.org/10.5194/angeo-26-823-2008")</f>
        <v>http://dx.doi.org/10.5194/angeo-26-823-2008</v>
      </c>
      <c r="BG82" t="s">
        <v>74</v>
      </c>
      <c r="BH82" t="s">
        <v>74</v>
      </c>
      <c r="BI82">
        <v>19</v>
      </c>
      <c r="BJ82" t="s">
        <v>1560</v>
      </c>
      <c r="BK82" t="s">
        <v>97</v>
      </c>
      <c r="BL82" t="s">
        <v>1561</v>
      </c>
      <c r="BM82" t="s">
        <v>1580</v>
      </c>
      <c r="BN82" t="s">
        <v>74</v>
      </c>
      <c r="BO82" t="s">
        <v>1581</v>
      </c>
      <c r="BP82" t="s">
        <v>74</v>
      </c>
      <c r="BQ82" t="s">
        <v>74</v>
      </c>
      <c r="BR82" t="s">
        <v>100</v>
      </c>
      <c r="BS82" t="s">
        <v>1582</v>
      </c>
      <c r="BT82" t="str">
        <f>HYPERLINK("https%3A%2F%2Fwww.webofscience.com%2Fwos%2Fwoscc%2Ffull-record%2FWOS:000256849800008","View Full Record in Web of Science")</f>
        <v>View Full Record in Web of Science</v>
      </c>
    </row>
    <row r="83" spans="1:72" x14ac:dyDescent="0.15">
      <c r="A83" t="s">
        <v>72</v>
      </c>
      <c r="B83" t="s">
        <v>1583</v>
      </c>
      <c r="C83" t="s">
        <v>74</v>
      </c>
      <c r="D83" t="s">
        <v>74</v>
      </c>
      <c r="E83" t="s">
        <v>74</v>
      </c>
      <c r="F83" t="s">
        <v>1584</v>
      </c>
      <c r="G83" t="s">
        <v>74</v>
      </c>
      <c r="H83" t="s">
        <v>74</v>
      </c>
      <c r="I83" t="s">
        <v>1585</v>
      </c>
      <c r="J83" t="s">
        <v>1543</v>
      </c>
      <c r="K83" t="s">
        <v>74</v>
      </c>
      <c r="L83" t="s">
        <v>74</v>
      </c>
      <c r="M83" t="s">
        <v>78</v>
      </c>
      <c r="N83" t="s">
        <v>79</v>
      </c>
      <c r="O83" t="s">
        <v>74</v>
      </c>
      <c r="P83" t="s">
        <v>74</v>
      </c>
      <c r="Q83" t="s">
        <v>74</v>
      </c>
      <c r="R83" t="s">
        <v>74</v>
      </c>
      <c r="S83" t="s">
        <v>74</v>
      </c>
      <c r="T83" t="s">
        <v>1568</v>
      </c>
      <c r="U83" t="s">
        <v>1586</v>
      </c>
      <c r="V83" t="s">
        <v>1587</v>
      </c>
      <c r="W83" t="s">
        <v>1588</v>
      </c>
      <c r="X83" t="s">
        <v>1589</v>
      </c>
      <c r="Y83" t="s">
        <v>1590</v>
      </c>
      <c r="Z83" t="s">
        <v>1591</v>
      </c>
      <c r="AA83" t="s">
        <v>1592</v>
      </c>
      <c r="AB83" t="s">
        <v>1593</v>
      </c>
      <c r="AC83" t="s">
        <v>1594</v>
      </c>
      <c r="AD83" t="s">
        <v>1595</v>
      </c>
      <c r="AE83" t="s">
        <v>74</v>
      </c>
      <c r="AF83" t="s">
        <v>74</v>
      </c>
      <c r="AG83">
        <v>24</v>
      </c>
      <c r="AH83">
        <v>43</v>
      </c>
      <c r="AI83">
        <v>46</v>
      </c>
      <c r="AJ83">
        <v>0</v>
      </c>
      <c r="AK83">
        <v>5</v>
      </c>
      <c r="AL83" t="s">
        <v>1552</v>
      </c>
      <c r="AM83" t="s">
        <v>1553</v>
      </c>
      <c r="AN83" t="s">
        <v>1554</v>
      </c>
      <c r="AO83" t="s">
        <v>1555</v>
      </c>
      <c r="AP83" t="s">
        <v>74</v>
      </c>
      <c r="AQ83" t="s">
        <v>74</v>
      </c>
      <c r="AR83" t="s">
        <v>1557</v>
      </c>
      <c r="AS83" t="s">
        <v>1558</v>
      </c>
      <c r="AT83" t="s">
        <v>74</v>
      </c>
      <c r="AU83">
        <v>2008</v>
      </c>
      <c r="AV83">
        <v>26</v>
      </c>
      <c r="AW83">
        <v>4</v>
      </c>
      <c r="AX83" t="s">
        <v>74</v>
      </c>
      <c r="AY83" t="s">
        <v>74</v>
      </c>
      <c r="AZ83" t="s">
        <v>74</v>
      </c>
      <c r="BA83" t="s">
        <v>74</v>
      </c>
      <c r="BB83">
        <v>843</v>
      </c>
      <c r="BC83">
        <v>852</v>
      </c>
      <c r="BD83" t="s">
        <v>74</v>
      </c>
      <c r="BE83" t="s">
        <v>1596</v>
      </c>
      <c r="BF83" t="str">
        <f>HYPERLINK("http://dx.doi.org/10.5194/angeo-26-843-2008","http://dx.doi.org/10.5194/angeo-26-843-2008")</f>
        <v>http://dx.doi.org/10.5194/angeo-26-843-2008</v>
      </c>
      <c r="BG83" t="s">
        <v>74</v>
      </c>
      <c r="BH83" t="s">
        <v>74</v>
      </c>
      <c r="BI83">
        <v>10</v>
      </c>
      <c r="BJ83" t="s">
        <v>1560</v>
      </c>
      <c r="BK83" t="s">
        <v>97</v>
      </c>
      <c r="BL83" t="s">
        <v>1561</v>
      </c>
      <c r="BM83" t="s">
        <v>1580</v>
      </c>
      <c r="BN83" t="s">
        <v>74</v>
      </c>
      <c r="BO83" t="s">
        <v>1597</v>
      </c>
      <c r="BP83" t="s">
        <v>74</v>
      </c>
      <c r="BQ83" t="s">
        <v>74</v>
      </c>
      <c r="BR83" t="s">
        <v>100</v>
      </c>
      <c r="BS83" t="s">
        <v>1598</v>
      </c>
      <c r="BT83" t="str">
        <f>HYPERLINK("https%3A%2F%2Fwww.webofscience.com%2Fwos%2Fwoscc%2Ffull-record%2FWOS:000256849800009","View Full Record in Web of Science")</f>
        <v>View Full Record in Web of Science</v>
      </c>
    </row>
    <row r="84" spans="1:72" x14ac:dyDescent="0.15">
      <c r="A84" t="s">
        <v>72</v>
      </c>
      <c r="B84" t="s">
        <v>1599</v>
      </c>
      <c r="C84" t="s">
        <v>74</v>
      </c>
      <c r="D84" t="s">
        <v>74</v>
      </c>
      <c r="E84" t="s">
        <v>74</v>
      </c>
      <c r="F84" t="s">
        <v>1600</v>
      </c>
      <c r="G84" t="s">
        <v>74</v>
      </c>
      <c r="H84" t="s">
        <v>74</v>
      </c>
      <c r="I84" t="s">
        <v>1601</v>
      </c>
      <c r="J84" t="s">
        <v>1543</v>
      </c>
      <c r="K84" t="s">
        <v>74</v>
      </c>
      <c r="L84" t="s">
        <v>74</v>
      </c>
      <c r="M84" t="s">
        <v>78</v>
      </c>
      <c r="N84" t="s">
        <v>1602</v>
      </c>
      <c r="O84" t="s">
        <v>1603</v>
      </c>
      <c r="P84" t="s">
        <v>1604</v>
      </c>
      <c r="Q84" t="s">
        <v>1605</v>
      </c>
      <c r="R84" t="s">
        <v>74</v>
      </c>
      <c r="S84" t="s">
        <v>74</v>
      </c>
      <c r="T84" t="s">
        <v>1606</v>
      </c>
      <c r="U84" t="s">
        <v>1607</v>
      </c>
      <c r="V84" t="s">
        <v>1608</v>
      </c>
      <c r="W84" t="s">
        <v>1609</v>
      </c>
      <c r="X84" t="s">
        <v>1610</v>
      </c>
      <c r="Y84" t="s">
        <v>1611</v>
      </c>
      <c r="Z84" t="s">
        <v>1612</v>
      </c>
      <c r="AA84" t="s">
        <v>1613</v>
      </c>
      <c r="AB84" t="s">
        <v>1614</v>
      </c>
      <c r="AC84" t="s">
        <v>74</v>
      </c>
      <c r="AD84" t="s">
        <v>74</v>
      </c>
      <c r="AE84" t="s">
        <v>74</v>
      </c>
      <c r="AF84" t="s">
        <v>74</v>
      </c>
      <c r="AG84">
        <v>26</v>
      </c>
      <c r="AH84">
        <v>11</v>
      </c>
      <c r="AI84">
        <v>12</v>
      </c>
      <c r="AJ84">
        <v>1</v>
      </c>
      <c r="AK84">
        <v>4</v>
      </c>
      <c r="AL84" t="s">
        <v>1552</v>
      </c>
      <c r="AM84" t="s">
        <v>1553</v>
      </c>
      <c r="AN84" t="s">
        <v>1554</v>
      </c>
      <c r="AO84" t="s">
        <v>1555</v>
      </c>
      <c r="AP84" t="s">
        <v>1556</v>
      </c>
      <c r="AQ84" t="s">
        <v>74</v>
      </c>
      <c r="AR84" t="s">
        <v>1557</v>
      </c>
      <c r="AS84" t="s">
        <v>1558</v>
      </c>
      <c r="AT84" t="s">
        <v>74</v>
      </c>
      <c r="AU84">
        <v>2008</v>
      </c>
      <c r="AV84">
        <v>26</v>
      </c>
      <c r="AW84">
        <v>5</v>
      </c>
      <c r="AX84" t="s">
        <v>74</v>
      </c>
      <c r="AY84" t="s">
        <v>74</v>
      </c>
      <c r="AZ84" t="s">
        <v>74</v>
      </c>
      <c r="BA84" t="s">
        <v>74</v>
      </c>
      <c r="BB84">
        <v>1101</v>
      </c>
      <c r="BC84">
        <v>1108</v>
      </c>
      <c r="BD84" t="s">
        <v>74</v>
      </c>
      <c r="BE84" t="s">
        <v>1615</v>
      </c>
      <c r="BF84" t="str">
        <f>HYPERLINK("http://dx.doi.org/10.5194/angeo-26-1101-2008","http://dx.doi.org/10.5194/angeo-26-1101-2008")</f>
        <v>http://dx.doi.org/10.5194/angeo-26-1101-2008</v>
      </c>
      <c r="BG84" t="s">
        <v>74</v>
      </c>
      <c r="BH84" t="s">
        <v>74</v>
      </c>
      <c r="BI84">
        <v>8</v>
      </c>
      <c r="BJ84" t="s">
        <v>1560</v>
      </c>
      <c r="BK84" t="s">
        <v>1616</v>
      </c>
      <c r="BL84" t="s">
        <v>1561</v>
      </c>
      <c r="BM84" t="s">
        <v>1617</v>
      </c>
      <c r="BN84" t="s">
        <v>74</v>
      </c>
      <c r="BO84" t="s">
        <v>1618</v>
      </c>
      <c r="BP84" t="s">
        <v>74</v>
      </c>
      <c r="BQ84" t="s">
        <v>74</v>
      </c>
      <c r="BR84" t="s">
        <v>100</v>
      </c>
      <c r="BS84" t="s">
        <v>1619</v>
      </c>
      <c r="BT84" t="str">
        <f>HYPERLINK("https%3A%2F%2Fwww.webofscience.com%2Fwos%2Fwoscc%2Ffull-record%2FWOS:000256224500008","View Full Record in Web of Science")</f>
        <v>View Full Record in Web of Science</v>
      </c>
    </row>
    <row r="85" spans="1:72" x14ac:dyDescent="0.15">
      <c r="A85" t="s">
        <v>72</v>
      </c>
      <c r="B85" t="s">
        <v>1620</v>
      </c>
      <c r="C85" t="s">
        <v>74</v>
      </c>
      <c r="D85" t="s">
        <v>74</v>
      </c>
      <c r="E85" t="s">
        <v>74</v>
      </c>
      <c r="F85" t="s">
        <v>1621</v>
      </c>
      <c r="G85" t="s">
        <v>74</v>
      </c>
      <c r="H85" t="s">
        <v>74</v>
      </c>
      <c r="I85" t="s">
        <v>1622</v>
      </c>
      <c r="J85" t="s">
        <v>1543</v>
      </c>
      <c r="K85" t="s">
        <v>74</v>
      </c>
      <c r="L85" t="s">
        <v>74</v>
      </c>
      <c r="M85" t="s">
        <v>78</v>
      </c>
      <c r="N85" t="s">
        <v>1602</v>
      </c>
      <c r="O85" t="s">
        <v>1623</v>
      </c>
      <c r="P85" t="s">
        <v>1624</v>
      </c>
      <c r="Q85" t="s">
        <v>1625</v>
      </c>
      <c r="R85" t="s">
        <v>74</v>
      </c>
      <c r="S85" t="s">
        <v>1626</v>
      </c>
      <c r="T85" t="s">
        <v>1627</v>
      </c>
      <c r="U85" t="s">
        <v>1628</v>
      </c>
      <c r="V85" t="s">
        <v>1629</v>
      </c>
      <c r="W85" t="s">
        <v>1630</v>
      </c>
      <c r="X85" t="s">
        <v>1631</v>
      </c>
      <c r="Y85" t="s">
        <v>1632</v>
      </c>
      <c r="Z85" t="s">
        <v>1633</v>
      </c>
      <c r="AA85" t="s">
        <v>1634</v>
      </c>
      <c r="AB85" t="s">
        <v>1635</v>
      </c>
      <c r="AC85" t="s">
        <v>1636</v>
      </c>
      <c r="AD85" t="s">
        <v>444</v>
      </c>
      <c r="AE85" t="s">
        <v>74</v>
      </c>
      <c r="AF85" t="s">
        <v>74</v>
      </c>
      <c r="AG85">
        <v>85</v>
      </c>
      <c r="AH85">
        <v>96</v>
      </c>
      <c r="AI85">
        <v>101</v>
      </c>
      <c r="AJ85">
        <v>1</v>
      </c>
      <c r="AK85">
        <v>32</v>
      </c>
      <c r="AL85" t="s">
        <v>1552</v>
      </c>
      <c r="AM85" t="s">
        <v>1553</v>
      </c>
      <c r="AN85" t="s">
        <v>1554</v>
      </c>
      <c r="AO85" t="s">
        <v>1555</v>
      </c>
      <c r="AP85" t="s">
        <v>1556</v>
      </c>
      <c r="AQ85" t="s">
        <v>74</v>
      </c>
      <c r="AR85" t="s">
        <v>1557</v>
      </c>
      <c r="AS85" t="s">
        <v>1558</v>
      </c>
      <c r="AT85" t="s">
        <v>74</v>
      </c>
      <c r="AU85">
        <v>2008</v>
      </c>
      <c r="AV85">
        <v>26</v>
      </c>
      <c r="AW85">
        <v>5</v>
      </c>
      <c r="AX85" t="s">
        <v>74</v>
      </c>
      <c r="AY85" t="s">
        <v>74</v>
      </c>
      <c r="AZ85" t="s">
        <v>74</v>
      </c>
      <c r="BA85" t="s">
        <v>74</v>
      </c>
      <c r="BB85">
        <v>1255</v>
      </c>
      <c r="BC85">
        <v>1268</v>
      </c>
      <c r="BD85" t="s">
        <v>74</v>
      </c>
      <c r="BE85" t="s">
        <v>1637</v>
      </c>
      <c r="BF85" t="str">
        <f>HYPERLINK("http://dx.doi.org/10.5194/angeo-26-1255-2008","http://dx.doi.org/10.5194/angeo-26-1255-2008")</f>
        <v>http://dx.doi.org/10.5194/angeo-26-1255-2008</v>
      </c>
      <c r="BG85" t="s">
        <v>74</v>
      </c>
      <c r="BH85" t="s">
        <v>74</v>
      </c>
      <c r="BI85">
        <v>14</v>
      </c>
      <c r="BJ85" t="s">
        <v>1560</v>
      </c>
      <c r="BK85" t="s">
        <v>1616</v>
      </c>
      <c r="BL85" t="s">
        <v>1561</v>
      </c>
      <c r="BM85" t="s">
        <v>1617</v>
      </c>
      <c r="BN85" t="s">
        <v>74</v>
      </c>
      <c r="BO85" t="s">
        <v>1581</v>
      </c>
      <c r="BP85" t="s">
        <v>74</v>
      </c>
      <c r="BQ85" t="s">
        <v>74</v>
      </c>
      <c r="BR85" t="s">
        <v>100</v>
      </c>
      <c r="BS85" t="s">
        <v>1638</v>
      </c>
      <c r="BT85" t="str">
        <f>HYPERLINK("https%3A%2F%2Fwww.webofscience.com%2Fwos%2Fwoscc%2Ffull-record%2FWOS:000256224500024","View Full Record in Web of Science")</f>
        <v>View Full Record in Web of Science</v>
      </c>
    </row>
    <row r="86" spans="1:72" x14ac:dyDescent="0.15">
      <c r="A86" t="s">
        <v>72</v>
      </c>
      <c r="B86" t="s">
        <v>1639</v>
      </c>
      <c r="C86" t="s">
        <v>74</v>
      </c>
      <c r="D86" t="s">
        <v>74</v>
      </c>
      <c r="E86" t="s">
        <v>74</v>
      </c>
      <c r="F86" t="s">
        <v>1640</v>
      </c>
      <c r="G86" t="s">
        <v>74</v>
      </c>
      <c r="H86" t="s">
        <v>74</v>
      </c>
      <c r="I86" t="s">
        <v>1641</v>
      </c>
      <c r="J86" t="s">
        <v>1543</v>
      </c>
      <c r="K86" t="s">
        <v>74</v>
      </c>
      <c r="L86" t="s">
        <v>74</v>
      </c>
      <c r="M86" t="s">
        <v>78</v>
      </c>
      <c r="N86" t="s">
        <v>79</v>
      </c>
      <c r="O86" t="s">
        <v>74</v>
      </c>
      <c r="P86" t="s">
        <v>74</v>
      </c>
      <c r="Q86" t="s">
        <v>74</v>
      </c>
      <c r="R86" t="s">
        <v>74</v>
      </c>
      <c r="S86" t="s">
        <v>74</v>
      </c>
      <c r="T86" t="s">
        <v>1642</v>
      </c>
      <c r="U86" t="s">
        <v>1643</v>
      </c>
      <c r="V86" t="s">
        <v>1644</v>
      </c>
      <c r="W86" t="s">
        <v>1645</v>
      </c>
      <c r="X86" t="s">
        <v>1646</v>
      </c>
      <c r="Y86" t="s">
        <v>1647</v>
      </c>
      <c r="Z86" t="s">
        <v>1648</v>
      </c>
      <c r="AA86" t="s">
        <v>1649</v>
      </c>
      <c r="AB86" t="s">
        <v>1650</v>
      </c>
      <c r="AC86" t="s">
        <v>74</v>
      </c>
      <c r="AD86" t="s">
        <v>74</v>
      </c>
      <c r="AE86" t="s">
        <v>74</v>
      </c>
      <c r="AF86" t="s">
        <v>74</v>
      </c>
      <c r="AG86">
        <v>52</v>
      </c>
      <c r="AH86">
        <v>55</v>
      </c>
      <c r="AI86">
        <v>56</v>
      </c>
      <c r="AJ86">
        <v>0</v>
      </c>
      <c r="AK86">
        <v>8</v>
      </c>
      <c r="AL86" t="s">
        <v>1552</v>
      </c>
      <c r="AM86" t="s">
        <v>1553</v>
      </c>
      <c r="AN86" t="s">
        <v>1554</v>
      </c>
      <c r="AO86" t="s">
        <v>1555</v>
      </c>
      <c r="AP86" t="s">
        <v>1556</v>
      </c>
      <c r="AQ86" t="s">
        <v>74</v>
      </c>
      <c r="AR86" t="s">
        <v>1557</v>
      </c>
      <c r="AS86" t="s">
        <v>1558</v>
      </c>
      <c r="AT86" t="s">
        <v>74</v>
      </c>
      <c r="AU86">
        <v>2008</v>
      </c>
      <c r="AV86">
        <v>26</v>
      </c>
      <c r="AW86">
        <v>6</v>
      </c>
      <c r="AX86" t="s">
        <v>74</v>
      </c>
      <c r="AY86" t="s">
        <v>74</v>
      </c>
      <c r="AZ86" t="s">
        <v>74</v>
      </c>
      <c r="BA86" t="s">
        <v>74</v>
      </c>
      <c r="BB86">
        <v>1391</v>
      </c>
      <c r="BC86">
        <v>1413</v>
      </c>
      <c r="BD86" t="s">
        <v>74</v>
      </c>
      <c r="BE86" t="s">
        <v>1651</v>
      </c>
      <c r="BF86" t="str">
        <f>HYPERLINK("http://dx.doi.org/10.5194/angeo-26-1391-2008","http://dx.doi.org/10.5194/angeo-26-1391-2008")</f>
        <v>http://dx.doi.org/10.5194/angeo-26-1391-2008</v>
      </c>
      <c r="BG86" t="s">
        <v>74</v>
      </c>
      <c r="BH86" t="s">
        <v>74</v>
      </c>
      <c r="BI86">
        <v>23</v>
      </c>
      <c r="BJ86" t="s">
        <v>1560</v>
      </c>
      <c r="BK86" t="s">
        <v>97</v>
      </c>
      <c r="BL86" t="s">
        <v>1561</v>
      </c>
      <c r="BM86" t="s">
        <v>1652</v>
      </c>
      <c r="BN86" t="s">
        <v>74</v>
      </c>
      <c r="BO86" t="s">
        <v>1581</v>
      </c>
      <c r="BP86" t="s">
        <v>74</v>
      </c>
      <c r="BQ86" t="s">
        <v>74</v>
      </c>
      <c r="BR86" t="s">
        <v>100</v>
      </c>
      <c r="BS86" t="s">
        <v>1653</v>
      </c>
      <c r="BT86" t="str">
        <f>HYPERLINK("https%3A%2F%2Fwww.webofscience.com%2Fwos%2Fwoscc%2Ffull-record%2FWOS:000256594000009","View Full Record in Web of Science")</f>
        <v>View Full Record in Web of Science</v>
      </c>
    </row>
    <row r="87" spans="1:72" x14ac:dyDescent="0.15">
      <c r="A87" t="s">
        <v>72</v>
      </c>
      <c r="B87" t="s">
        <v>1654</v>
      </c>
      <c r="C87" t="s">
        <v>74</v>
      </c>
      <c r="D87" t="s">
        <v>74</v>
      </c>
      <c r="E87" t="s">
        <v>74</v>
      </c>
      <c r="F87" t="s">
        <v>1655</v>
      </c>
      <c r="G87" t="s">
        <v>74</v>
      </c>
      <c r="H87" t="s">
        <v>74</v>
      </c>
      <c r="I87" t="s">
        <v>1656</v>
      </c>
      <c r="J87" t="s">
        <v>1543</v>
      </c>
      <c r="K87" t="s">
        <v>74</v>
      </c>
      <c r="L87" t="s">
        <v>74</v>
      </c>
      <c r="M87" t="s">
        <v>78</v>
      </c>
      <c r="N87" t="s">
        <v>79</v>
      </c>
      <c r="O87" t="s">
        <v>74</v>
      </c>
      <c r="P87" t="s">
        <v>74</v>
      </c>
      <c r="Q87" t="s">
        <v>74</v>
      </c>
      <c r="R87" t="s">
        <v>74</v>
      </c>
      <c r="S87" t="s">
        <v>74</v>
      </c>
      <c r="T87" t="s">
        <v>1657</v>
      </c>
      <c r="U87" t="s">
        <v>1658</v>
      </c>
      <c r="V87" t="s">
        <v>1659</v>
      </c>
      <c r="W87" t="s">
        <v>1660</v>
      </c>
      <c r="X87" t="s">
        <v>1661</v>
      </c>
      <c r="Y87" t="s">
        <v>1662</v>
      </c>
      <c r="Z87" t="s">
        <v>1663</v>
      </c>
      <c r="AA87" t="s">
        <v>74</v>
      </c>
      <c r="AB87" t="s">
        <v>1664</v>
      </c>
      <c r="AC87" t="s">
        <v>74</v>
      </c>
      <c r="AD87" t="s">
        <v>74</v>
      </c>
      <c r="AE87" t="s">
        <v>74</v>
      </c>
      <c r="AF87" t="s">
        <v>74</v>
      </c>
      <c r="AG87">
        <v>27</v>
      </c>
      <c r="AH87">
        <v>9</v>
      </c>
      <c r="AI87">
        <v>9</v>
      </c>
      <c r="AJ87">
        <v>0</v>
      </c>
      <c r="AK87">
        <v>1</v>
      </c>
      <c r="AL87" t="s">
        <v>1552</v>
      </c>
      <c r="AM87" t="s">
        <v>1553</v>
      </c>
      <c r="AN87" t="s">
        <v>1554</v>
      </c>
      <c r="AO87" t="s">
        <v>1555</v>
      </c>
      <c r="AP87" t="s">
        <v>1556</v>
      </c>
      <c r="AQ87" t="s">
        <v>74</v>
      </c>
      <c r="AR87" t="s">
        <v>1557</v>
      </c>
      <c r="AS87" t="s">
        <v>1558</v>
      </c>
      <c r="AT87" t="s">
        <v>74</v>
      </c>
      <c r="AU87">
        <v>2008</v>
      </c>
      <c r="AV87">
        <v>26</v>
      </c>
      <c r="AW87">
        <v>6</v>
      </c>
      <c r="AX87" t="s">
        <v>74</v>
      </c>
      <c r="AY87" t="s">
        <v>74</v>
      </c>
      <c r="AZ87" t="s">
        <v>74</v>
      </c>
      <c r="BA87" t="s">
        <v>74</v>
      </c>
      <c r="BB87">
        <v>1479</v>
      </c>
      <c r="BC87">
        <v>1490</v>
      </c>
      <c r="BD87" t="s">
        <v>74</v>
      </c>
      <c r="BE87" t="s">
        <v>1665</v>
      </c>
      <c r="BF87" t="str">
        <f>HYPERLINK("http://dx.doi.org/10.5194/angeo-26-1479-2008","http://dx.doi.org/10.5194/angeo-26-1479-2008")</f>
        <v>http://dx.doi.org/10.5194/angeo-26-1479-2008</v>
      </c>
      <c r="BG87" t="s">
        <v>74</v>
      </c>
      <c r="BH87" t="s">
        <v>74</v>
      </c>
      <c r="BI87">
        <v>12</v>
      </c>
      <c r="BJ87" t="s">
        <v>1560</v>
      </c>
      <c r="BK87" t="s">
        <v>97</v>
      </c>
      <c r="BL87" t="s">
        <v>1561</v>
      </c>
      <c r="BM87" t="s">
        <v>1652</v>
      </c>
      <c r="BN87" t="s">
        <v>74</v>
      </c>
      <c r="BO87" t="s">
        <v>1618</v>
      </c>
      <c r="BP87" t="s">
        <v>74</v>
      </c>
      <c r="BQ87" t="s">
        <v>74</v>
      </c>
      <c r="BR87" t="s">
        <v>100</v>
      </c>
      <c r="BS87" t="s">
        <v>1666</v>
      </c>
      <c r="BT87" t="str">
        <f>HYPERLINK("https%3A%2F%2Fwww.webofscience.com%2Fwos%2Fwoscc%2Ffull-record%2FWOS:000256594000015","View Full Record in Web of Science")</f>
        <v>View Full Record in Web of Science</v>
      </c>
    </row>
    <row r="88" spans="1:72" x14ac:dyDescent="0.15">
      <c r="A88" t="s">
        <v>72</v>
      </c>
      <c r="B88" t="s">
        <v>1667</v>
      </c>
      <c r="C88" t="s">
        <v>74</v>
      </c>
      <c r="D88" t="s">
        <v>74</v>
      </c>
      <c r="E88" t="s">
        <v>74</v>
      </c>
      <c r="F88" t="s">
        <v>1668</v>
      </c>
      <c r="G88" t="s">
        <v>74</v>
      </c>
      <c r="H88" t="s">
        <v>74</v>
      </c>
      <c r="I88" t="s">
        <v>1669</v>
      </c>
      <c r="J88" t="s">
        <v>1543</v>
      </c>
      <c r="K88" t="s">
        <v>74</v>
      </c>
      <c r="L88" t="s">
        <v>74</v>
      </c>
      <c r="M88" t="s">
        <v>78</v>
      </c>
      <c r="N88" t="s">
        <v>79</v>
      </c>
      <c r="O88" t="s">
        <v>74</v>
      </c>
      <c r="P88" t="s">
        <v>74</v>
      </c>
      <c r="Q88" t="s">
        <v>74</v>
      </c>
      <c r="R88" t="s">
        <v>74</v>
      </c>
      <c r="S88" t="s">
        <v>74</v>
      </c>
      <c r="T88" t="s">
        <v>1670</v>
      </c>
      <c r="U88" t="s">
        <v>1671</v>
      </c>
      <c r="V88" t="s">
        <v>1672</v>
      </c>
      <c r="W88" t="s">
        <v>1673</v>
      </c>
      <c r="X88" t="s">
        <v>1674</v>
      </c>
      <c r="Y88" t="s">
        <v>1675</v>
      </c>
      <c r="Z88" t="s">
        <v>1676</v>
      </c>
      <c r="AA88" t="s">
        <v>1677</v>
      </c>
      <c r="AB88" t="s">
        <v>1678</v>
      </c>
      <c r="AC88" t="s">
        <v>74</v>
      </c>
      <c r="AD88" t="s">
        <v>74</v>
      </c>
      <c r="AE88" t="s">
        <v>74</v>
      </c>
      <c r="AF88" t="s">
        <v>74</v>
      </c>
      <c r="AG88">
        <v>40</v>
      </c>
      <c r="AH88">
        <v>28</v>
      </c>
      <c r="AI88">
        <v>28</v>
      </c>
      <c r="AJ88">
        <v>0</v>
      </c>
      <c r="AK88">
        <v>3</v>
      </c>
      <c r="AL88" t="s">
        <v>1552</v>
      </c>
      <c r="AM88" t="s">
        <v>1553</v>
      </c>
      <c r="AN88" t="s">
        <v>1554</v>
      </c>
      <c r="AO88" t="s">
        <v>1555</v>
      </c>
      <c r="AP88" t="s">
        <v>1556</v>
      </c>
      <c r="AQ88" t="s">
        <v>74</v>
      </c>
      <c r="AR88" t="s">
        <v>1557</v>
      </c>
      <c r="AS88" t="s">
        <v>1558</v>
      </c>
      <c r="AT88" t="s">
        <v>74</v>
      </c>
      <c r="AU88">
        <v>2008</v>
      </c>
      <c r="AV88">
        <v>26</v>
      </c>
      <c r="AW88">
        <v>7</v>
      </c>
      <c r="AX88" t="s">
        <v>74</v>
      </c>
      <c r="AY88" t="s">
        <v>74</v>
      </c>
      <c r="AZ88" t="s">
        <v>74</v>
      </c>
      <c r="BA88" t="s">
        <v>74</v>
      </c>
      <c r="BB88">
        <v>1819</v>
      </c>
      <c r="BC88">
        <v>1828</v>
      </c>
      <c r="BD88" t="s">
        <v>74</v>
      </c>
      <c r="BE88" t="s">
        <v>1679</v>
      </c>
      <c r="BF88" t="str">
        <f>HYPERLINK("http://dx.doi.org/10.5194/angeo-26-1819-2008","http://dx.doi.org/10.5194/angeo-26-1819-2008")</f>
        <v>http://dx.doi.org/10.5194/angeo-26-1819-2008</v>
      </c>
      <c r="BG88" t="s">
        <v>74</v>
      </c>
      <c r="BH88" t="s">
        <v>74</v>
      </c>
      <c r="BI88">
        <v>10</v>
      </c>
      <c r="BJ88" t="s">
        <v>1560</v>
      </c>
      <c r="BK88" t="s">
        <v>97</v>
      </c>
      <c r="BL88" t="s">
        <v>1561</v>
      </c>
      <c r="BM88" t="s">
        <v>1680</v>
      </c>
      <c r="BN88" t="s">
        <v>74</v>
      </c>
      <c r="BO88" t="s">
        <v>1681</v>
      </c>
      <c r="BP88" t="s">
        <v>74</v>
      </c>
      <c r="BQ88" t="s">
        <v>74</v>
      </c>
      <c r="BR88" t="s">
        <v>100</v>
      </c>
      <c r="BS88" t="s">
        <v>1682</v>
      </c>
      <c r="BT88" t="str">
        <f>HYPERLINK("https%3A%2F%2Fwww.webofscience.com%2Fwos%2Fwoscc%2Ffull-record%2FWOS:000258074300014","View Full Record in Web of Science")</f>
        <v>View Full Record in Web of Science</v>
      </c>
    </row>
    <row r="89" spans="1:72" x14ac:dyDescent="0.15">
      <c r="A89" t="s">
        <v>72</v>
      </c>
      <c r="B89" t="s">
        <v>1683</v>
      </c>
      <c r="C89" t="s">
        <v>74</v>
      </c>
      <c r="D89" t="s">
        <v>74</v>
      </c>
      <c r="E89" t="s">
        <v>74</v>
      </c>
      <c r="F89" t="s">
        <v>1684</v>
      </c>
      <c r="G89" t="s">
        <v>74</v>
      </c>
      <c r="H89" t="s">
        <v>74</v>
      </c>
      <c r="I89" t="s">
        <v>1685</v>
      </c>
      <c r="J89" t="s">
        <v>1543</v>
      </c>
      <c r="K89" t="s">
        <v>74</v>
      </c>
      <c r="L89" t="s">
        <v>74</v>
      </c>
      <c r="M89" t="s">
        <v>78</v>
      </c>
      <c r="N89" t="s">
        <v>79</v>
      </c>
      <c r="O89" t="s">
        <v>74</v>
      </c>
      <c r="P89" t="s">
        <v>74</v>
      </c>
      <c r="Q89" t="s">
        <v>74</v>
      </c>
      <c r="R89" t="s">
        <v>74</v>
      </c>
      <c r="S89" t="s">
        <v>74</v>
      </c>
      <c r="T89" t="s">
        <v>1686</v>
      </c>
      <c r="U89" t="s">
        <v>1687</v>
      </c>
      <c r="V89" t="s">
        <v>1688</v>
      </c>
      <c r="W89" t="s">
        <v>1689</v>
      </c>
      <c r="X89" t="s">
        <v>1690</v>
      </c>
      <c r="Y89" t="s">
        <v>1691</v>
      </c>
      <c r="Z89" t="s">
        <v>1692</v>
      </c>
      <c r="AA89" t="s">
        <v>1693</v>
      </c>
      <c r="AB89" t="s">
        <v>1694</v>
      </c>
      <c r="AC89" t="s">
        <v>1695</v>
      </c>
      <c r="AD89" t="s">
        <v>1695</v>
      </c>
      <c r="AE89" t="s">
        <v>1696</v>
      </c>
      <c r="AF89" t="s">
        <v>74</v>
      </c>
      <c r="AG89">
        <v>26</v>
      </c>
      <c r="AH89">
        <v>5</v>
      </c>
      <c r="AI89">
        <v>5</v>
      </c>
      <c r="AJ89">
        <v>0</v>
      </c>
      <c r="AK89">
        <v>1</v>
      </c>
      <c r="AL89" t="s">
        <v>1552</v>
      </c>
      <c r="AM89" t="s">
        <v>1553</v>
      </c>
      <c r="AN89" t="s">
        <v>1554</v>
      </c>
      <c r="AO89" t="s">
        <v>1555</v>
      </c>
      <c r="AP89" t="s">
        <v>1556</v>
      </c>
      <c r="AQ89" t="s">
        <v>74</v>
      </c>
      <c r="AR89" t="s">
        <v>1557</v>
      </c>
      <c r="AS89" t="s">
        <v>1558</v>
      </c>
      <c r="AT89" t="s">
        <v>74</v>
      </c>
      <c r="AU89">
        <v>2008</v>
      </c>
      <c r="AV89">
        <v>26</v>
      </c>
      <c r="AW89">
        <v>8</v>
      </c>
      <c r="AX89" t="s">
        <v>74</v>
      </c>
      <c r="AY89" t="s">
        <v>74</v>
      </c>
      <c r="AZ89" t="s">
        <v>74</v>
      </c>
      <c r="BA89" t="s">
        <v>74</v>
      </c>
      <c r="BB89">
        <v>2179</v>
      </c>
      <c r="BC89">
        <v>2190</v>
      </c>
      <c r="BD89" t="s">
        <v>74</v>
      </c>
      <c r="BE89" t="s">
        <v>1697</v>
      </c>
      <c r="BF89" t="str">
        <f>HYPERLINK("http://dx.doi.org/10.5194/angeo-26-2179-2008","http://dx.doi.org/10.5194/angeo-26-2179-2008")</f>
        <v>http://dx.doi.org/10.5194/angeo-26-2179-2008</v>
      </c>
      <c r="BG89" t="s">
        <v>74</v>
      </c>
      <c r="BH89" t="s">
        <v>74</v>
      </c>
      <c r="BI89">
        <v>12</v>
      </c>
      <c r="BJ89" t="s">
        <v>1560</v>
      </c>
      <c r="BK89" t="s">
        <v>97</v>
      </c>
      <c r="BL89" t="s">
        <v>1561</v>
      </c>
      <c r="BM89" t="s">
        <v>1698</v>
      </c>
      <c r="BN89" t="s">
        <v>74</v>
      </c>
      <c r="BO89" t="s">
        <v>1681</v>
      </c>
      <c r="BP89" t="s">
        <v>74</v>
      </c>
      <c r="BQ89" t="s">
        <v>74</v>
      </c>
      <c r="BR89" t="s">
        <v>100</v>
      </c>
      <c r="BS89" t="s">
        <v>1699</v>
      </c>
      <c r="BT89" t="str">
        <f>HYPERLINK("https%3A%2F%2Fwww.webofscience.com%2Fwos%2Fwoscc%2Ffull-record%2FWOS:000258687200008","View Full Record in Web of Science")</f>
        <v>View Full Record in Web of Science</v>
      </c>
    </row>
    <row r="90" spans="1:72" x14ac:dyDescent="0.15">
      <c r="A90" t="s">
        <v>72</v>
      </c>
      <c r="B90" t="s">
        <v>1700</v>
      </c>
      <c r="C90" t="s">
        <v>74</v>
      </c>
      <c r="D90" t="s">
        <v>74</v>
      </c>
      <c r="E90" t="s">
        <v>74</v>
      </c>
      <c r="F90" t="s">
        <v>1701</v>
      </c>
      <c r="G90" t="s">
        <v>74</v>
      </c>
      <c r="H90" t="s">
        <v>74</v>
      </c>
      <c r="I90" t="s">
        <v>1702</v>
      </c>
      <c r="J90" t="s">
        <v>1543</v>
      </c>
      <c r="K90" t="s">
        <v>74</v>
      </c>
      <c r="L90" t="s">
        <v>74</v>
      </c>
      <c r="M90" t="s">
        <v>78</v>
      </c>
      <c r="N90" t="s">
        <v>79</v>
      </c>
      <c r="O90" t="s">
        <v>74</v>
      </c>
      <c r="P90" t="s">
        <v>74</v>
      </c>
      <c r="Q90" t="s">
        <v>74</v>
      </c>
      <c r="R90" t="s">
        <v>74</v>
      </c>
      <c r="S90" t="s">
        <v>74</v>
      </c>
      <c r="T90" t="s">
        <v>1703</v>
      </c>
      <c r="U90" t="s">
        <v>1704</v>
      </c>
      <c r="V90" t="s">
        <v>1705</v>
      </c>
      <c r="W90" t="s">
        <v>1706</v>
      </c>
      <c r="X90" t="s">
        <v>1707</v>
      </c>
      <c r="Y90" t="s">
        <v>1708</v>
      </c>
      <c r="Z90" t="s">
        <v>1709</v>
      </c>
      <c r="AA90" t="s">
        <v>74</v>
      </c>
      <c r="AB90" t="s">
        <v>74</v>
      </c>
      <c r="AC90" t="s">
        <v>1710</v>
      </c>
      <c r="AD90" t="s">
        <v>1711</v>
      </c>
      <c r="AE90" t="s">
        <v>1712</v>
      </c>
      <c r="AF90" t="s">
        <v>74</v>
      </c>
      <c r="AG90">
        <v>50</v>
      </c>
      <c r="AH90">
        <v>8</v>
      </c>
      <c r="AI90">
        <v>9</v>
      </c>
      <c r="AJ90">
        <v>0</v>
      </c>
      <c r="AK90">
        <v>2</v>
      </c>
      <c r="AL90" t="s">
        <v>1552</v>
      </c>
      <c r="AM90" t="s">
        <v>1553</v>
      </c>
      <c r="AN90" t="s">
        <v>1554</v>
      </c>
      <c r="AO90" t="s">
        <v>1555</v>
      </c>
      <c r="AP90" t="s">
        <v>1556</v>
      </c>
      <c r="AQ90" t="s">
        <v>74</v>
      </c>
      <c r="AR90" t="s">
        <v>1557</v>
      </c>
      <c r="AS90" t="s">
        <v>1558</v>
      </c>
      <c r="AT90" t="s">
        <v>74</v>
      </c>
      <c r="AU90">
        <v>2008</v>
      </c>
      <c r="AV90">
        <v>26</v>
      </c>
      <c r="AW90">
        <v>9</v>
      </c>
      <c r="AX90" t="s">
        <v>74</v>
      </c>
      <c r="AY90" t="s">
        <v>74</v>
      </c>
      <c r="AZ90" t="s">
        <v>74</v>
      </c>
      <c r="BA90" t="s">
        <v>74</v>
      </c>
      <c r="BB90">
        <v>2657</v>
      </c>
      <c r="BC90">
        <v>2672</v>
      </c>
      <c r="BD90" t="s">
        <v>74</v>
      </c>
      <c r="BE90" t="s">
        <v>1713</v>
      </c>
      <c r="BF90" t="str">
        <f>HYPERLINK("http://dx.doi.org/10.5194/angeo-26-2657-2008","http://dx.doi.org/10.5194/angeo-26-2657-2008")</f>
        <v>http://dx.doi.org/10.5194/angeo-26-2657-2008</v>
      </c>
      <c r="BG90" t="s">
        <v>74</v>
      </c>
      <c r="BH90" t="s">
        <v>74</v>
      </c>
      <c r="BI90">
        <v>16</v>
      </c>
      <c r="BJ90" t="s">
        <v>1560</v>
      </c>
      <c r="BK90" t="s">
        <v>97</v>
      </c>
      <c r="BL90" t="s">
        <v>1561</v>
      </c>
      <c r="BM90" t="s">
        <v>1714</v>
      </c>
      <c r="BN90" t="s">
        <v>74</v>
      </c>
      <c r="BO90" t="s">
        <v>1681</v>
      </c>
      <c r="BP90" t="s">
        <v>74</v>
      </c>
      <c r="BQ90" t="s">
        <v>74</v>
      </c>
      <c r="BR90" t="s">
        <v>100</v>
      </c>
      <c r="BS90" t="s">
        <v>1715</v>
      </c>
      <c r="BT90" t="str">
        <f>HYPERLINK("https%3A%2F%2Fwww.webofscience.com%2Fwos%2Fwoscc%2Ffull-record%2FWOS:000259702800012","View Full Record in Web of Science")</f>
        <v>View Full Record in Web of Science</v>
      </c>
    </row>
    <row r="91" spans="1:72" x14ac:dyDescent="0.15">
      <c r="A91" t="s">
        <v>72</v>
      </c>
      <c r="B91" t="s">
        <v>1716</v>
      </c>
      <c r="C91" t="s">
        <v>74</v>
      </c>
      <c r="D91" t="s">
        <v>74</v>
      </c>
      <c r="E91" t="s">
        <v>74</v>
      </c>
      <c r="F91" t="s">
        <v>1717</v>
      </c>
      <c r="G91" t="s">
        <v>74</v>
      </c>
      <c r="H91" t="s">
        <v>74</v>
      </c>
      <c r="I91" t="s">
        <v>1718</v>
      </c>
      <c r="J91" t="s">
        <v>1543</v>
      </c>
      <c r="K91" t="s">
        <v>74</v>
      </c>
      <c r="L91" t="s">
        <v>74</v>
      </c>
      <c r="M91" t="s">
        <v>78</v>
      </c>
      <c r="N91" t="s">
        <v>79</v>
      </c>
      <c r="O91" t="s">
        <v>74</v>
      </c>
      <c r="P91" t="s">
        <v>74</v>
      </c>
      <c r="Q91" t="s">
        <v>74</v>
      </c>
      <c r="R91" t="s">
        <v>74</v>
      </c>
      <c r="S91" t="s">
        <v>74</v>
      </c>
      <c r="T91" t="s">
        <v>1719</v>
      </c>
      <c r="U91" t="s">
        <v>1720</v>
      </c>
      <c r="V91" t="s">
        <v>1721</v>
      </c>
      <c r="W91" t="s">
        <v>1722</v>
      </c>
      <c r="X91" t="s">
        <v>1723</v>
      </c>
      <c r="Y91" t="s">
        <v>1724</v>
      </c>
      <c r="Z91" t="s">
        <v>1725</v>
      </c>
      <c r="AA91" t="s">
        <v>1726</v>
      </c>
      <c r="AB91" t="s">
        <v>1727</v>
      </c>
      <c r="AC91" t="s">
        <v>1728</v>
      </c>
      <c r="AD91" t="s">
        <v>1729</v>
      </c>
      <c r="AE91" t="s">
        <v>1730</v>
      </c>
      <c r="AF91" t="s">
        <v>74</v>
      </c>
      <c r="AG91">
        <v>31</v>
      </c>
      <c r="AH91">
        <v>45</v>
      </c>
      <c r="AI91">
        <v>50</v>
      </c>
      <c r="AJ91">
        <v>0</v>
      </c>
      <c r="AK91">
        <v>0</v>
      </c>
      <c r="AL91" t="s">
        <v>1552</v>
      </c>
      <c r="AM91" t="s">
        <v>1553</v>
      </c>
      <c r="AN91" t="s">
        <v>1554</v>
      </c>
      <c r="AO91" t="s">
        <v>1555</v>
      </c>
      <c r="AP91" t="s">
        <v>74</v>
      </c>
      <c r="AQ91" t="s">
        <v>74</v>
      </c>
      <c r="AR91" t="s">
        <v>1557</v>
      </c>
      <c r="AS91" t="s">
        <v>1558</v>
      </c>
      <c r="AT91" t="s">
        <v>74</v>
      </c>
      <c r="AU91">
        <v>2008</v>
      </c>
      <c r="AV91">
        <v>26</v>
      </c>
      <c r="AW91">
        <v>9</v>
      </c>
      <c r="AX91" t="s">
        <v>74</v>
      </c>
      <c r="AY91" t="s">
        <v>74</v>
      </c>
      <c r="AZ91" t="s">
        <v>74</v>
      </c>
      <c r="BA91" t="s">
        <v>74</v>
      </c>
      <c r="BB91">
        <v>2759</v>
      </c>
      <c r="BC91">
        <v>2769</v>
      </c>
      <c r="BD91" t="s">
        <v>74</v>
      </c>
      <c r="BE91" t="s">
        <v>1731</v>
      </c>
      <c r="BF91" t="str">
        <f>HYPERLINK("http://dx.doi.org/10.5194/angeo-26-2759-2008","http://dx.doi.org/10.5194/angeo-26-2759-2008")</f>
        <v>http://dx.doi.org/10.5194/angeo-26-2759-2008</v>
      </c>
      <c r="BG91" t="s">
        <v>74</v>
      </c>
      <c r="BH91" t="s">
        <v>74</v>
      </c>
      <c r="BI91">
        <v>11</v>
      </c>
      <c r="BJ91" t="s">
        <v>1560</v>
      </c>
      <c r="BK91" t="s">
        <v>97</v>
      </c>
      <c r="BL91" t="s">
        <v>1561</v>
      </c>
      <c r="BM91" t="s">
        <v>1714</v>
      </c>
      <c r="BN91" t="s">
        <v>74</v>
      </c>
      <c r="BO91" t="s">
        <v>1563</v>
      </c>
      <c r="BP91" t="s">
        <v>74</v>
      </c>
      <c r="BQ91" t="s">
        <v>74</v>
      </c>
      <c r="BR91" t="s">
        <v>100</v>
      </c>
      <c r="BS91" t="s">
        <v>1732</v>
      </c>
      <c r="BT91" t="str">
        <f>HYPERLINK("https%3A%2F%2Fwww.webofscience.com%2Fwos%2Fwoscc%2Ffull-record%2FWOS:000259702800020","View Full Record in Web of Science")</f>
        <v>View Full Record in Web of Science</v>
      </c>
    </row>
    <row r="92" spans="1:72" x14ac:dyDescent="0.15">
      <c r="A92" t="s">
        <v>72</v>
      </c>
      <c r="B92" t="s">
        <v>1733</v>
      </c>
      <c r="C92" t="s">
        <v>74</v>
      </c>
      <c r="D92" t="s">
        <v>74</v>
      </c>
      <c r="E92" t="s">
        <v>74</v>
      </c>
      <c r="F92" t="s">
        <v>1734</v>
      </c>
      <c r="G92" t="s">
        <v>74</v>
      </c>
      <c r="H92" t="s">
        <v>74</v>
      </c>
      <c r="I92" t="s">
        <v>1735</v>
      </c>
      <c r="J92" t="s">
        <v>1543</v>
      </c>
      <c r="K92" t="s">
        <v>74</v>
      </c>
      <c r="L92" t="s">
        <v>74</v>
      </c>
      <c r="M92" t="s">
        <v>78</v>
      </c>
      <c r="N92" t="s">
        <v>79</v>
      </c>
      <c r="O92" t="s">
        <v>74</v>
      </c>
      <c r="P92" t="s">
        <v>74</v>
      </c>
      <c r="Q92" t="s">
        <v>74</v>
      </c>
      <c r="R92" t="s">
        <v>74</v>
      </c>
      <c r="S92" t="s">
        <v>74</v>
      </c>
      <c r="T92" t="s">
        <v>1736</v>
      </c>
      <c r="U92" t="s">
        <v>1737</v>
      </c>
      <c r="V92" t="s">
        <v>1738</v>
      </c>
      <c r="W92" t="s">
        <v>1739</v>
      </c>
      <c r="X92" t="s">
        <v>1740</v>
      </c>
      <c r="Y92" t="s">
        <v>1741</v>
      </c>
      <c r="Z92" t="s">
        <v>1742</v>
      </c>
      <c r="AA92" t="s">
        <v>74</v>
      </c>
      <c r="AB92" t="s">
        <v>1743</v>
      </c>
      <c r="AC92" t="s">
        <v>1744</v>
      </c>
      <c r="AD92" t="s">
        <v>1745</v>
      </c>
      <c r="AE92" t="s">
        <v>1746</v>
      </c>
      <c r="AF92" t="s">
        <v>74</v>
      </c>
      <c r="AG92">
        <v>34</v>
      </c>
      <c r="AH92">
        <v>40</v>
      </c>
      <c r="AI92">
        <v>40</v>
      </c>
      <c r="AJ92">
        <v>0</v>
      </c>
      <c r="AK92">
        <v>1</v>
      </c>
      <c r="AL92" t="s">
        <v>1552</v>
      </c>
      <c r="AM92" t="s">
        <v>1553</v>
      </c>
      <c r="AN92" t="s">
        <v>1554</v>
      </c>
      <c r="AO92" t="s">
        <v>1555</v>
      </c>
      <c r="AP92" t="s">
        <v>1556</v>
      </c>
      <c r="AQ92" t="s">
        <v>74</v>
      </c>
      <c r="AR92" t="s">
        <v>1557</v>
      </c>
      <c r="AS92" t="s">
        <v>1558</v>
      </c>
      <c r="AT92" t="s">
        <v>74</v>
      </c>
      <c r="AU92">
        <v>2008</v>
      </c>
      <c r="AV92">
        <v>26</v>
      </c>
      <c r="AW92">
        <v>9</v>
      </c>
      <c r="AX92" t="s">
        <v>74</v>
      </c>
      <c r="AY92" t="s">
        <v>74</v>
      </c>
      <c r="AZ92" t="s">
        <v>74</v>
      </c>
      <c r="BA92" t="s">
        <v>74</v>
      </c>
      <c r="BB92">
        <v>2795</v>
      </c>
      <c r="BC92">
        <v>2806</v>
      </c>
      <c r="BD92" t="s">
        <v>74</v>
      </c>
      <c r="BE92" t="s">
        <v>1747</v>
      </c>
      <c r="BF92" t="str">
        <f>HYPERLINK("http://dx.doi.org/10.5194/angeo-26-2795-2008","http://dx.doi.org/10.5194/angeo-26-2795-2008")</f>
        <v>http://dx.doi.org/10.5194/angeo-26-2795-2008</v>
      </c>
      <c r="BG92" t="s">
        <v>74</v>
      </c>
      <c r="BH92" t="s">
        <v>74</v>
      </c>
      <c r="BI92">
        <v>12</v>
      </c>
      <c r="BJ92" t="s">
        <v>1560</v>
      </c>
      <c r="BK92" t="s">
        <v>97</v>
      </c>
      <c r="BL92" t="s">
        <v>1561</v>
      </c>
      <c r="BM92" t="s">
        <v>1714</v>
      </c>
      <c r="BN92" t="s">
        <v>74</v>
      </c>
      <c r="BO92" t="s">
        <v>1681</v>
      </c>
      <c r="BP92" t="s">
        <v>74</v>
      </c>
      <c r="BQ92" t="s">
        <v>74</v>
      </c>
      <c r="BR92" t="s">
        <v>100</v>
      </c>
      <c r="BS92" t="s">
        <v>1748</v>
      </c>
      <c r="BT92" t="str">
        <f>HYPERLINK("https%3A%2F%2Fwww.webofscience.com%2Fwos%2Fwoscc%2Ffull-record%2FWOS:000259702800023","View Full Record in Web of Science")</f>
        <v>View Full Record in Web of Science</v>
      </c>
    </row>
    <row r="93" spans="1:72" x14ac:dyDescent="0.15">
      <c r="A93" t="s">
        <v>72</v>
      </c>
      <c r="B93" t="s">
        <v>1749</v>
      </c>
      <c r="C93" t="s">
        <v>74</v>
      </c>
      <c r="D93" t="s">
        <v>74</v>
      </c>
      <c r="E93" t="s">
        <v>74</v>
      </c>
      <c r="F93" t="s">
        <v>1750</v>
      </c>
      <c r="G93" t="s">
        <v>74</v>
      </c>
      <c r="H93" t="s">
        <v>74</v>
      </c>
      <c r="I93" t="s">
        <v>1751</v>
      </c>
      <c r="J93" t="s">
        <v>1543</v>
      </c>
      <c r="K93" t="s">
        <v>74</v>
      </c>
      <c r="L93" t="s">
        <v>74</v>
      </c>
      <c r="M93" t="s">
        <v>78</v>
      </c>
      <c r="N93" t="s">
        <v>79</v>
      </c>
      <c r="O93" t="s">
        <v>74</v>
      </c>
      <c r="P93" t="s">
        <v>74</v>
      </c>
      <c r="Q93" t="s">
        <v>74</v>
      </c>
      <c r="R93" t="s">
        <v>74</v>
      </c>
      <c r="S93" t="s">
        <v>74</v>
      </c>
      <c r="T93" t="s">
        <v>1752</v>
      </c>
      <c r="U93" t="s">
        <v>1753</v>
      </c>
      <c r="V93" t="s">
        <v>1754</v>
      </c>
      <c r="W93" t="s">
        <v>1755</v>
      </c>
      <c r="X93" t="s">
        <v>1756</v>
      </c>
      <c r="Y93" t="s">
        <v>1757</v>
      </c>
      <c r="Z93" t="s">
        <v>1758</v>
      </c>
      <c r="AA93" t="s">
        <v>1759</v>
      </c>
      <c r="AB93" t="s">
        <v>1760</v>
      </c>
      <c r="AC93" t="s">
        <v>1761</v>
      </c>
      <c r="AD93" t="s">
        <v>1762</v>
      </c>
      <c r="AE93" t="s">
        <v>1763</v>
      </c>
      <c r="AF93" t="s">
        <v>74</v>
      </c>
      <c r="AG93">
        <v>52</v>
      </c>
      <c r="AH93">
        <v>9</v>
      </c>
      <c r="AI93">
        <v>9</v>
      </c>
      <c r="AJ93">
        <v>0</v>
      </c>
      <c r="AK93">
        <v>3</v>
      </c>
      <c r="AL93" t="s">
        <v>1552</v>
      </c>
      <c r="AM93" t="s">
        <v>1553</v>
      </c>
      <c r="AN93" t="s">
        <v>1554</v>
      </c>
      <c r="AO93" t="s">
        <v>1555</v>
      </c>
      <c r="AP93" t="s">
        <v>1556</v>
      </c>
      <c r="AQ93" t="s">
        <v>74</v>
      </c>
      <c r="AR93" t="s">
        <v>1557</v>
      </c>
      <c r="AS93" t="s">
        <v>1558</v>
      </c>
      <c r="AT93" t="s">
        <v>74</v>
      </c>
      <c r="AU93">
        <v>2008</v>
      </c>
      <c r="AV93">
        <v>26</v>
      </c>
      <c r="AW93">
        <v>9</v>
      </c>
      <c r="AX93" t="s">
        <v>74</v>
      </c>
      <c r="AY93" t="s">
        <v>74</v>
      </c>
      <c r="AZ93" t="s">
        <v>74</v>
      </c>
      <c r="BA93" t="s">
        <v>74</v>
      </c>
      <c r="BB93">
        <v>2937</v>
      </c>
      <c r="BC93">
        <v>2951</v>
      </c>
      <c r="BD93" t="s">
        <v>74</v>
      </c>
      <c r="BE93" t="s">
        <v>1764</v>
      </c>
      <c r="BF93" t="str">
        <f>HYPERLINK("http://dx.doi.org/10.5194/angeo-26-2937-2008","http://dx.doi.org/10.5194/angeo-26-2937-2008")</f>
        <v>http://dx.doi.org/10.5194/angeo-26-2937-2008</v>
      </c>
      <c r="BG93" t="s">
        <v>74</v>
      </c>
      <c r="BH93" t="s">
        <v>74</v>
      </c>
      <c r="BI93">
        <v>15</v>
      </c>
      <c r="BJ93" t="s">
        <v>1560</v>
      </c>
      <c r="BK93" t="s">
        <v>97</v>
      </c>
      <c r="BL93" t="s">
        <v>1561</v>
      </c>
      <c r="BM93" t="s">
        <v>1714</v>
      </c>
      <c r="BN93" t="s">
        <v>74</v>
      </c>
      <c r="BO93" t="s">
        <v>1581</v>
      </c>
      <c r="BP93" t="s">
        <v>74</v>
      </c>
      <c r="BQ93" t="s">
        <v>74</v>
      </c>
      <c r="BR93" t="s">
        <v>100</v>
      </c>
      <c r="BS93" t="s">
        <v>1765</v>
      </c>
      <c r="BT93" t="str">
        <f>HYPERLINK("https%3A%2F%2Fwww.webofscience.com%2Fwos%2Fwoscc%2Ffull-record%2FWOS:000259702800035","View Full Record in Web of Science")</f>
        <v>View Full Record in Web of Science</v>
      </c>
    </row>
    <row r="94" spans="1:72" x14ac:dyDescent="0.15">
      <c r="A94" t="s">
        <v>72</v>
      </c>
      <c r="B94" t="s">
        <v>1766</v>
      </c>
      <c r="C94" t="s">
        <v>74</v>
      </c>
      <c r="D94" t="s">
        <v>74</v>
      </c>
      <c r="E94" t="s">
        <v>74</v>
      </c>
      <c r="F94" t="s">
        <v>1767</v>
      </c>
      <c r="G94" t="s">
        <v>74</v>
      </c>
      <c r="H94" t="s">
        <v>74</v>
      </c>
      <c r="I94" t="s">
        <v>1768</v>
      </c>
      <c r="J94" t="s">
        <v>1543</v>
      </c>
      <c r="K94" t="s">
        <v>74</v>
      </c>
      <c r="L94" t="s">
        <v>74</v>
      </c>
      <c r="M94" t="s">
        <v>78</v>
      </c>
      <c r="N94" t="s">
        <v>79</v>
      </c>
      <c r="O94" t="s">
        <v>74</v>
      </c>
      <c r="P94" t="s">
        <v>74</v>
      </c>
      <c r="Q94" t="s">
        <v>74</v>
      </c>
      <c r="R94" t="s">
        <v>74</v>
      </c>
      <c r="S94" t="s">
        <v>74</v>
      </c>
      <c r="T94" t="s">
        <v>1769</v>
      </c>
      <c r="U94" t="s">
        <v>1770</v>
      </c>
      <c r="V94" t="s">
        <v>1771</v>
      </c>
      <c r="W94" t="s">
        <v>1772</v>
      </c>
      <c r="X94" t="s">
        <v>1773</v>
      </c>
      <c r="Y94" t="s">
        <v>1774</v>
      </c>
      <c r="Z94" t="s">
        <v>1775</v>
      </c>
      <c r="AA94" t="s">
        <v>1776</v>
      </c>
      <c r="AB94" t="s">
        <v>1777</v>
      </c>
      <c r="AC94" t="s">
        <v>1778</v>
      </c>
      <c r="AD94" t="s">
        <v>1779</v>
      </c>
      <c r="AE94" t="s">
        <v>1780</v>
      </c>
      <c r="AF94" t="s">
        <v>74</v>
      </c>
      <c r="AG94">
        <v>38</v>
      </c>
      <c r="AH94">
        <v>27</v>
      </c>
      <c r="AI94">
        <v>29</v>
      </c>
      <c r="AJ94">
        <v>0</v>
      </c>
      <c r="AK94">
        <v>1</v>
      </c>
      <c r="AL94" t="s">
        <v>1552</v>
      </c>
      <c r="AM94" t="s">
        <v>1553</v>
      </c>
      <c r="AN94" t="s">
        <v>1554</v>
      </c>
      <c r="AO94" t="s">
        <v>1555</v>
      </c>
      <c r="AP94" t="s">
        <v>1556</v>
      </c>
      <c r="AQ94" t="s">
        <v>74</v>
      </c>
      <c r="AR94" t="s">
        <v>1557</v>
      </c>
      <c r="AS94" t="s">
        <v>1558</v>
      </c>
      <c r="AT94" t="s">
        <v>74</v>
      </c>
      <c r="AU94">
        <v>2008</v>
      </c>
      <c r="AV94">
        <v>26</v>
      </c>
      <c r="AW94">
        <v>11</v>
      </c>
      <c r="AX94" t="s">
        <v>74</v>
      </c>
      <c r="AY94" t="s">
        <v>74</v>
      </c>
      <c r="AZ94" t="s">
        <v>74</v>
      </c>
      <c r="BA94" t="s">
        <v>74</v>
      </c>
      <c r="BB94">
        <v>3269</v>
      </c>
      <c r="BC94">
        <v>3277</v>
      </c>
      <c r="BD94" t="s">
        <v>74</v>
      </c>
      <c r="BE94" t="s">
        <v>1781</v>
      </c>
      <c r="BF94" t="str">
        <f>HYPERLINK("http://dx.doi.org/10.5194/angeo-26-3269-2008","http://dx.doi.org/10.5194/angeo-26-3269-2008")</f>
        <v>http://dx.doi.org/10.5194/angeo-26-3269-2008</v>
      </c>
      <c r="BG94" t="s">
        <v>74</v>
      </c>
      <c r="BH94" t="s">
        <v>74</v>
      </c>
      <c r="BI94">
        <v>9</v>
      </c>
      <c r="BJ94" t="s">
        <v>1560</v>
      </c>
      <c r="BK94" t="s">
        <v>97</v>
      </c>
      <c r="BL94" t="s">
        <v>1561</v>
      </c>
      <c r="BM94" t="s">
        <v>1782</v>
      </c>
      <c r="BN94" t="s">
        <v>74</v>
      </c>
      <c r="BO94" t="s">
        <v>1581</v>
      </c>
      <c r="BP94" t="s">
        <v>74</v>
      </c>
      <c r="BQ94" t="s">
        <v>74</v>
      </c>
      <c r="BR94" t="s">
        <v>100</v>
      </c>
      <c r="BS94" t="s">
        <v>1783</v>
      </c>
      <c r="BT94" t="str">
        <f>HYPERLINK("https%3A%2F%2Fwww.webofscience.com%2Fwos%2Fwoscc%2Ffull-record%2FWOS:000262409400007","View Full Record in Web of Science")</f>
        <v>View Full Record in Web of Science</v>
      </c>
    </row>
    <row r="95" spans="1:72" x14ac:dyDescent="0.15">
      <c r="A95" t="s">
        <v>72</v>
      </c>
      <c r="B95" t="s">
        <v>1784</v>
      </c>
      <c r="C95" t="s">
        <v>74</v>
      </c>
      <c r="D95" t="s">
        <v>74</v>
      </c>
      <c r="E95" t="s">
        <v>74</v>
      </c>
      <c r="F95" t="s">
        <v>1785</v>
      </c>
      <c r="G95" t="s">
        <v>74</v>
      </c>
      <c r="H95" t="s">
        <v>74</v>
      </c>
      <c r="I95" t="s">
        <v>1786</v>
      </c>
      <c r="J95" t="s">
        <v>1543</v>
      </c>
      <c r="K95" t="s">
        <v>74</v>
      </c>
      <c r="L95" t="s">
        <v>74</v>
      </c>
      <c r="M95" t="s">
        <v>78</v>
      </c>
      <c r="N95" t="s">
        <v>79</v>
      </c>
      <c r="O95" t="s">
        <v>74</v>
      </c>
      <c r="P95" t="s">
        <v>74</v>
      </c>
      <c r="Q95" t="s">
        <v>74</v>
      </c>
      <c r="R95" t="s">
        <v>74</v>
      </c>
      <c r="S95" t="s">
        <v>74</v>
      </c>
      <c r="T95" t="s">
        <v>1787</v>
      </c>
      <c r="U95" t="s">
        <v>1788</v>
      </c>
      <c r="V95" t="s">
        <v>1789</v>
      </c>
      <c r="W95" t="s">
        <v>1790</v>
      </c>
      <c r="X95" t="s">
        <v>1791</v>
      </c>
      <c r="Y95" t="s">
        <v>1792</v>
      </c>
      <c r="Z95" t="s">
        <v>1793</v>
      </c>
      <c r="AA95" t="s">
        <v>1794</v>
      </c>
      <c r="AB95" t="s">
        <v>1795</v>
      </c>
      <c r="AC95" t="s">
        <v>1796</v>
      </c>
      <c r="AD95" t="s">
        <v>1796</v>
      </c>
      <c r="AE95" t="s">
        <v>1797</v>
      </c>
      <c r="AF95" t="s">
        <v>74</v>
      </c>
      <c r="AG95">
        <v>22</v>
      </c>
      <c r="AH95">
        <v>7</v>
      </c>
      <c r="AI95">
        <v>7</v>
      </c>
      <c r="AJ95">
        <v>0</v>
      </c>
      <c r="AK95">
        <v>2</v>
      </c>
      <c r="AL95" t="s">
        <v>1552</v>
      </c>
      <c r="AM95" t="s">
        <v>1553</v>
      </c>
      <c r="AN95" t="s">
        <v>1554</v>
      </c>
      <c r="AO95" t="s">
        <v>1555</v>
      </c>
      <c r="AP95" t="s">
        <v>1556</v>
      </c>
      <c r="AQ95" t="s">
        <v>74</v>
      </c>
      <c r="AR95" t="s">
        <v>1557</v>
      </c>
      <c r="AS95" t="s">
        <v>1558</v>
      </c>
      <c r="AT95" t="s">
        <v>74</v>
      </c>
      <c r="AU95">
        <v>2008</v>
      </c>
      <c r="AV95">
        <v>26</v>
      </c>
      <c r="AW95">
        <v>12</v>
      </c>
      <c r="AX95" t="s">
        <v>74</v>
      </c>
      <c r="AY95" t="s">
        <v>74</v>
      </c>
      <c r="AZ95" t="s">
        <v>74</v>
      </c>
      <c r="BA95" t="s">
        <v>74</v>
      </c>
      <c r="BB95">
        <v>3783</v>
      </c>
      <c r="BC95">
        <v>3792</v>
      </c>
      <c r="BD95" t="s">
        <v>74</v>
      </c>
      <c r="BE95" t="s">
        <v>1798</v>
      </c>
      <c r="BF95" t="str">
        <f>HYPERLINK("http://dx.doi.org/10.5194/angeo-26-3783-2008","http://dx.doi.org/10.5194/angeo-26-3783-2008")</f>
        <v>http://dx.doi.org/10.5194/angeo-26-3783-2008</v>
      </c>
      <c r="BG95" t="s">
        <v>74</v>
      </c>
      <c r="BH95" t="s">
        <v>74</v>
      </c>
      <c r="BI95">
        <v>10</v>
      </c>
      <c r="BJ95" t="s">
        <v>1560</v>
      </c>
      <c r="BK95" t="s">
        <v>97</v>
      </c>
      <c r="BL95" t="s">
        <v>1561</v>
      </c>
      <c r="BM95" t="s">
        <v>1799</v>
      </c>
      <c r="BN95" t="s">
        <v>74</v>
      </c>
      <c r="BO95" t="s">
        <v>1681</v>
      </c>
      <c r="BP95" t="s">
        <v>74</v>
      </c>
      <c r="BQ95" t="s">
        <v>74</v>
      </c>
      <c r="BR95" t="s">
        <v>100</v>
      </c>
      <c r="BS95" t="s">
        <v>1800</v>
      </c>
      <c r="BT95" t="str">
        <f>HYPERLINK("https%3A%2F%2Fwww.webofscience.com%2Fwos%2Fwoscc%2Ffull-record%2FWOS:000262412500012","View Full Record in Web of Science")</f>
        <v>View Full Record in Web of Science</v>
      </c>
    </row>
    <row r="96" spans="1:72" x14ac:dyDescent="0.15">
      <c r="A96" t="s">
        <v>816</v>
      </c>
      <c r="B96" t="s">
        <v>1801</v>
      </c>
      <c r="C96" t="s">
        <v>74</v>
      </c>
      <c r="D96" t="s">
        <v>1802</v>
      </c>
      <c r="E96" t="s">
        <v>74</v>
      </c>
      <c r="F96" t="s">
        <v>1803</v>
      </c>
      <c r="G96" t="s">
        <v>74</v>
      </c>
      <c r="H96" t="s">
        <v>74</v>
      </c>
      <c r="I96" t="s">
        <v>1804</v>
      </c>
      <c r="J96" t="s">
        <v>1805</v>
      </c>
      <c r="K96" t="s">
        <v>1806</v>
      </c>
      <c r="L96" t="s">
        <v>74</v>
      </c>
      <c r="M96" t="s">
        <v>78</v>
      </c>
      <c r="N96" t="s">
        <v>823</v>
      </c>
      <c r="O96" t="s">
        <v>1807</v>
      </c>
      <c r="P96" t="s">
        <v>1808</v>
      </c>
      <c r="Q96" t="s">
        <v>1809</v>
      </c>
      <c r="R96" t="s">
        <v>74</v>
      </c>
      <c r="S96" t="s">
        <v>74</v>
      </c>
      <c r="T96" t="s">
        <v>74</v>
      </c>
      <c r="U96" t="s">
        <v>1810</v>
      </c>
      <c r="V96" t="s">
        <v>1811</v>
      </c>
      <c r="W96" t="s">
        <v>1812</v>
      </c>
      <c r="X96" t="s">
        <v>440</v>
      </c>
      <c r="Y96" t="s">
        <v>1813</v>
      </c>
      <c r="Z96" t="s">
        <v>602</v>
      </c>
      <c r="AA96" t="s">
        <v>1814</v>
      </c>
      <c r="AB96" t="s">
        <v>1815</v>
      </c>
      <c r="AC96" t="s">
        <v>1816</v>
      </c>
      <c r="AD96" t="s">
        <v>1817</v>
      </c>
      <c r="AE96" t="s">
        <v>74</v>
      </c>
      <c r="AF96" t="s">
        <v>74</v>
      </c>
      <c r="AG96">
        <v>29</v>
      </c>
      <c r="AH96">
        <v>6</v>
      </c>
      <c r="AI96">
        <v>6</v>
      </c>
      <c r="AJ96">
        <v>0</v>
      </c>
      <c r="AK96">
        <v>11</v>
      </c>
      <c r="AL96" t="s">
        <v>1818</v>
      </c>
      <c r="AM96" t="s">
        <v>1467</v>
      </c>
      <c r="AN96" t="s">
        <v>1819</v>
      </c>
      <c r="AO96" t="s">
        <v>1820</v>
      </c>
      <c r="AP96" t="s">
        <v>74</v>
      </c>
      <c r="AQ96" t="s">
        <v>1821</v>
      </c>
      <c r="AR96" t="s">
        <v>1822</v>
      </c>
      <c r="AS96" t="s">
        <v>74</v>
      </c>
      <c r="AT96" t="s">
        <v>74</v>
      </c>
      <c r="AU96">
        <v>2008</v>
      </c>
      <c r="AV96">
        <v>48</v>
      </c>
      <c r="AW96" t="s">
        <v>74</v>
      </c>
      <c r="AX96" t="s">
        <v>74</v>
      </c>
      <c r="AY96" t="s">
        <v>74</v>
      </c>
      <c r="AZ96" t="s">
        <v>74</v>
      </c>
      <c r="BA96" t="s">
        <v>74</v>
      </c>
      <c r="BB96">
        <v>19</v>
      </c>
      <c r="BC96">
        <v>24</v>
      </c>
      <c r="BD96" t="s">
        <v>74</v>
      </c>
      <c r="BE96" t="s">
        <v>1823</v>
      </c>
      <c r="BF96" t="str">
        <f>HYPERLINK("http://dx.doi.org/10.3189/172756408784700590","http://dx.doi.org/10.3189/172756408784700590")</f>
        <v>http://dx.doi.org/10.3189/172756408784700590</v>
      </c>
      <c r="BG96" t="s">
        <v>74</v>
      </c>
      <c r="BH96" t="s">
        <v>74</v>
      </c>
      <c r="BI96">
        <v>6</v>
      </c>
      <c r="BJ96" t="s">
        <v>1824</v>
      </c>
      <c r="BK96" t="s">
        <v>842</v>
      </c>
      <c r="BL96" t="s">
        <v>98</v>
      </c>
      <c r="BM96" t="s">
        <v>1825</v>
      </c>
      <c r="BN96" t="s">
        <v>74</v>
      </c>
      <c r="BO96" t="s">
        <v>179</v>
      </c>
      <c r="BP96" t="s">
        <v>74</v>
      </c>
      <c r="BQ96" t="s">
        <v>74</v>
      </c>
      <c r="BR96" t="s">
        <v>100</v>
      </c>
      <c r="BS96" t="s">
        <v>1826</v>
      </c>
      <c r="BT96" t="str">
        <f>HYPERLINK("https%3A%2F%2Fwww.webofscience.com%2Fwos%2Fwoscc%2Ffull-record%2FWOS:000257063000004","View Full Record in Web of Science")</f>
        <v>View Full Record in Web of Science</v>
      </c>
    </row>
    <row r="97" spans="1:72" x14ac:dyDescent="0.15">
      <c r="A97" t="s">
        <v>816</v>
      </c>
      <c r="B97" t="s">
        <v>1827</v>
      </c>
      <c r="C97" t="s">
        <v>74</v>
      </c>
      <c r="D97" t="s">
        <v>1802</v>
      </c>
      <c r="E97" t="s">
        <v>74</v>
      </c>
      <c r="F97" t="s">
        <v>1828</v>
      </c>
      <c r="G97" t="s">
        <v>74</v>
      </c>
      <c r="H97" t="s">
        <v>74</v>
      </c>
      <c r="I97" t="s">
        <v>1829</v>
      </c>
      <c r="J97" t="s">
        <v>1805</v>
      </c>
      <c r="K97" t="s">
        <v>1806</v>
      </c>
      <c r="L97" t="s">
        <v>74</v>
      </c>
      <c r="M97" t="s">
        <v>78</v>
      </c>
      <c r="N97" t="s">
        <v>823</v>
      </c>
      <c r="O97" t="s">
        <v>1807</v>
      </c>
      <c r="P97" t="s">
        <v>1808</v>
      </c>
      <c r="Q97" t="s">
        <v>1809</v>
      </c>
      <c r="R97" t="s">
        <v>74</v>
      </c>
      <c r="S97" t="s">
        <v>74</v>
      </c>
      <c r="T97" t="s">
        <v>74</v>
      </c>
      <c r="U97" t="s">
        <v>1830</v>
      </c>
      <c r="V97" t="s">
        <v>1831</v>
      </c>
      <c r="W97" t="s">
        <v>1832</v>
      </c>
      <c r="X97" t="s">
        <v>1833</v>
      </c>
      <c r="Y97" t="s">
        <v>1834</v>
      </c>
      <c r="Z97" t="s">
        <v>1835</v>
      </c>
      <c r="AA97" t="s">
        <v>74</v>
      </c>
      <c r="AB97" t="s">
        <v>1836</v>
      </c>
      <c r="AC97" t="s">
        <v>74</v>
      </c>
      <c r="AD97" t="s">
        <v>74</v>
      </c>
      <c r="AE97" t="s">
        <v>74</v>
      </c>
      <c r="AF97" t="s">
        <v>74</v>
      </c>
      <c r="AG97">
        <v>25</v>
      </c>
      <c r="AH97">
        <v>15</v>
      </c>
      <c r="AI97">
        <v>16</v>
      </c>
      <c r="AJ97">
        <v>2</v>
      </c>
      <c r="AK97">
        <v>9</v>
      </c>
      <c r="AL97" t="s">
        <v>1818</v>
      </c>
      <c r="AM97" t="s">
        <v>1467</v>
      </c>
      <c r="AN97" t="s">
        <v>1819</v>
      </c>
      <c r="AO97" t="s">
        <v>1820</v>
      </c>
      <c r="AP97" t="s">
        <v>74</v>
      </c>
      <c r="AQ97" t="s">
        <v>1821</v>
      </c>
      <c r="AR97" t="s">
        <v>1822</v>
      </c>
      <c r="AS97" t="s">
        <v>74</v>
      </c>
      <c r="AT97" t="s">
        <v>74</v>
      </c>
      <c r="AU97">
        <v>2008</v>
      </c>
      <c r="AV97">
        <v>48</v>
      </c>
      <c r="AW97" t="s">
        <v>74</v>
      </c>
      <c r="AX97" t="s">
        <v>74</v>
      </c>
      <c r="AY97" t="s">
        <v>74</v>
      </c>
      <c r="AZ97" t="s">
        <v>74</v>
      </c>
      <c r="BA97" t="s">
        <v>74</v>
      </c>
      <c r="BB97">
        <v>25</v>
      </c>
      <c r="BC97" t="s">
        <v>865</v>
      </c>
      <c r="BD97" t="s">
        <v>74</v>
      </c>
      <c r="BE97" t="s">
        <v>1837</v>
      </c>
      <c r="BF97" t="str">
        <f>HYPERLINK("http://dx.doi.org/10.3189/172756408784700734","http://dx.doi.org/10.3189/172756408784700734")</f>
        <v>http://dx.doi.org/10.3189/172756408784700734</v>
      </c>
      <c r="BG97" t="s">
        <v>74</v>
      </c>
      <c r="BH97" t="s">
        <v>74</v>
      </c>
      <c r="BI97">
        <v>3</v>
      </c>
      <c r="BJ97" t="s">
        <v>1824</v>
      </c>
      <c r="BK97" t="s">
        <v>842</v>
      </c>
      <c r="BL97" t="s">
        <v>98</v>
      </c>
      <c r="BM97" t="s">
        <v>1825</v>
      </c>
      <c r="BN97" t="s">
        <v>74</v>
      </c>
      <c r="BO97" t="s">
        <v>1838</v>
      </c>
      <c r="BP97" t="s">
        <v>74</v>
      </c>
      <c r="BQ97" t="s">
        <v>74</v>
      </c>
      <c r="BR97" t="s">
        <v>100</v>
      </c>
      <c r="BS97" t="s">
        <v>1839</v>
      </c>
      <c r="BT97" t="str">
        <f>HYPERLINK("https%3A%2F%2Fwww.webofscience.com%2Fwos%2Fwoscc%2Ffull-record%2FWOS:000257063000005","View Full Record in Web of Science")</f>
        <v>View Full Record in Web of Science</v>
      </c>
    </row>
    <row r="98" spans="1:72" x14ac:dyDescent="0.15">
      <c r="A98" t="s">
        <v>816</v>
      </c>
      <c r="B98" t="s">
        <v>1840</v>
      </c>
      <c r="C98" t="s">
        <v>74</v>
      </c>
      <c r="D98" t="s">
        <v>1802</v>
      </c>
      <c r="E98" t="s">
        <v>74</v>
      </c>
      <c r="F98" t="s">
        <v>1841</v>
      </c>
      <c r="G98" t="s">
        <v>74</v>
      </c>
      <c r="H98" t="s">
        <v>74</v>
      </c>
      <c r="I98" t="s">
        <v>1842</v>
      </c>
      <c r="J98" t="s">
        <v>1805</v>
      </c>
      <c r="K98" t="s">
        <v>1806</v>
      </c>
      <c r="L98" t="s">
        <v>74</v>
      </c>
      <c r="M98" t="s">
        <v>78</v>
      </c>
      <c r="N98" t="s">
        <v>823</v>
      </c>
      <c r="O98" t="s">
        <v>1807</v>
      </c>
      <c r="P98" t="s">
        <v>1808</v>
      </c>
      <c r="Q98" t="s">
        <v>1809</v>
      </c>
      <c r="R98" t="s">
        <v>74</v>
      </c>
      <c r="S98" t="s">
        <v>74</v>
      </c>
      <c r="T98" t="s">
        <v>74</v>
      </c>
      <c r="U98" t="s">
        <v>1843</v>
      </c>
      <c r="V98" t="s">
        <v>1844</v>
      </c>
      <c r="W98" t="s">
        <v>1845</v>
      </c>
      <c r="X98" t="s">
        <v>1846</v>
      </c>
      <c r="Y98" t="s">
        <v>1847</v>
      </c>
      <c r="Z98" t="s">
        <v>1848</v>
      </c>
      <c r="AA98" t="s">
        <v>1849</v>
      </c>
      <c r="AB98" t="s">
        <v>1850</v>
      </c>
      <c r="AC98" t="s">
        <v>1851</v>
      </c>
      <c r="AD98" t="s">
        <v>1852</v>
      </c>
      <c r="AE98" t="s">
        <v>1853</v>
      </c>
      <c r="AF98" t="s">
        <v>74</v>
      </c>
      <c r="AG98">
        <v>21</v>
      </c>
      <c r="AH98">
        <v>27</v>
      </c>
      <c r="AI98">
        <v>38</v>
      </c>
      <c r="AJ98">
        <v>0</v>
      </c>
      <c r="AK98">
        <v>4</v>
      </c>
      <c r="AL98" t="s">
        <v>1818</v>
      </c>
      <c r="AM98" t="s">
        <v>1467</v>
      </c>
      <c r="AN98" t="s">
        <v>1819</v>
      </c>
      <c r="AO98" t="s">
        <v>1820</v>
      </c>
      <c r="AP98" t="s">
        <v>74</v>
      </c>
      <c r="AQ98" t="s">
        <v>1821</v>
      </c>
      <c r="AR98" t="s">
        <v>1822</v>
      </c>
      <c r="AS98" t="s">
        <v>74</v>
      </c>
      <c r="AT98" t="s">
        <v>74</v>
      </c>
      <c r="AU98">
        <v>2008</v>
      </c>
      <c r="AV98">
        <v>48</v>
      </c>
      <c r="AW98" t="s">
        <v>74</v>
      </c>
      <c r="AX98" t="s">
        <v>74</v>
      </c>
      <c r="AY98" t="s">
        <v>74</v>
      </c>
      <c r="AZ98" t="s">
        <v>74</v>
      </c>
      <c r="BA98" t="s">
        <v>74</v>
      </c>
      <c r="BB98">
        <v>82</v>
      </c>
      <c r="BC98" t="s">
        <v>865</v>
      </c>
      <c r="BD98" t="s">
        <v>74</v>
      </c>
      <c r="BE98" t="s">
        <v>1854</v>
      </c>
      <c r="BF98" t="str">
        <f>HYPERLINK("http://dx.doi.org/10.3189/172756408784700653","http://dx.doi.org/10.3189/172756408784700653")</f>
        <v>http://dx.doi.org/10.3189/172756408784700653</v>
      </c>
      <c r="BG98" t="s">
        <v>74</v>
      </c>
      <c r="BH98" t="s">
        <v>74</v>
      </c>
      <c r="BI98">
        <v>2</v>
      </c>
      <c r="BJ98" t="s">
        <v>1824</v>
      </c>
      <c r="BK98" t="s">
        <v>842</v>
      </c>
      <c r="BL98" t="s">
        <v>98</v>
      </c>
      <c r="BM98" t="s">
        <v>1825</v>
      </c>
      <c r="BN98" t="s">
        <v>74</v>
      </c>
      <c r="BO98" t="s">
        <v>179</v>
      </c>
      <c r="BP98" t="s">
        <v>74</v>
      </c>
      <c r="BQ98" t="s">
        <v>74</v>
      </c>
      <c r="BR98" t="s">
        <v>100</v>
      </c>
      <c r="BS98" t="s">
        <v>1855</v>
      </c>
      <c r="BT98" t="str">
        <f>HYPERLINK("https%3A%2F%2Fwww.webofscience.com%2Fwos%2Fwoscc%2Ffull-record%2FWOS:000257063000012","View Full Record in Web of Science")</f>
        <v>View Full Record in Web of Science</v>
      </c>
    </row>
    <row r="99" spans="1:72" x14ac:dyDescent="0.15">
      <c r="A99" t="s">
        <v>816</v>
      </c>
      <c r="B99" t="s">
        <v>1856</v>
      </c>
      <c r="C99" t="s">
        <v>74</v>
      </c>
      <c r="D99" t="s">
        <v>1802</v>
      </c>
      <c r="E99" t="s">
        <v>74</v>
      </c>
      <c r="F99" t="s">
        <v>1857</v>
      </c>
      <c r="G99" t="s">
        <v>74</v>
      </c>
      <c r="H99" t="s">
        <v>74</v>
      </c>
      <c r="I99" t="s">
        <v>1858</v>
      </c>
      <c r="J99" t="s">
        <v>1805</v>
      </c>
      <c r="K99" t="s">
        <v>1806</v>
      </c>
      <c r="L99" t="s">
        <v>74</v>
      </c>
      <c r="M99" t="s">
        <v>78</v>
      </c>
      <c r="N99" t="s">
        <v>823</v>
      </c>
      <c r="O99" t="s">
        <v>1807</v>
      </c>
      <c r="P99" t="s">
        <v>1808</v>
      </c>
      <c r="Q99" t="s">
        <v>1809</v>
      </c>
      <c r="R99" t="s">
        <v>74</v>
      </c>
      <c r="S99" t="s">
        <v>74</v>
      </c>
      <c r="T99" t="s">
        <v>74</v>
      </c>
      <c r="U99" t="s">
        <v>1859</v>
      </c>
      <c r="V99" t="s">
        <v>1860</v>
      </c>
      <c r="W99" t="s">
        <v>1861</v>
      </c>
      <c r="X99" t="s">
        <v>1862</v>
      </c>
      <c r="Y99" t="s">
        <v>1863</v>
      </c>
      <c r="Z99" t="s">
        <v>1864</v>
      </c>
      <c r="AA99" t="s">
        <v>1865</v>
      </c>
      <c r="AB99" t="s">
        <v>74</v>
      </c>
      <c r="AC99" t="s">
        <v>1866</v>
      </c>
      <c r="AD99" t="s">
        <v>1867</v>
      </c>
      <c r="AE99" t="s">
        <v>1868</v>
      </c>
      <c r="AF99" t="s">
        <v>74</v>
      </c>
      <c r="AG99">
        <v>27</v>
      </c>
      <c r="AH99">
        <v>25</v>
      </c>
      <c r="AI99">
        <v>43</v>
      </c>
      <c r="AJ99">
        <v>2</v>
      </c>
      <c r="AK99">
        <v>14</v>
      </c>
      <c r="AL99" t="s">
        <v>1818</v>
      </c>
      <c r="AM99" t="s">
        <v>1467</v>
      </c>
      <c r="AN99" t="s">
        <v>1819</v>
      </c>
      <c r="AO99" t="s">
        <v>1820</v>
      </c>
      <c r="AP99" t="s">
        <v>74</v>
      </c>
      <c r="AQ99" t="s">
        <v>1821</v>
      </c>
      <c r="AR99" t="s">
        <v>1822</v>
      </c>
      <c r="AS99" t="s">
        <v>74</v>
      </c>
      <c r="AT99" t="s">
        <v>74</v>
      </c>
      <c r="AU99">
        <v>2008</v>
      </c>
      <c r="AV99">
        <v>48</v>
      </c>
      <c r="AW99" t="s">
        <v>74</v>
      </c>
      <c r="AX99" t="s">
        <v>74</v>
      </c>
      <c r="AY99" t="s">
        <v>74</v>
      </c>
      <c r="AZ99" t="s">
        <v>74</v>
      </c>
      <c r="BA99" t="s">
        <v>74</v>
      </c>
      <c r="BB99">
        <v>113</v>
      </c>
      <c r="BC99" t="s">
        <v>865</v>
      </c>
      <c r="BD99" t="s">
        <v>74</v>
      </c>
      <c r="BE99" t="s">
        <v>1869</v>
      </c>
      <c r="BF99" t="str">
        <f>HYPERLINK("http://dx.doi.org/10.3189/172756408784700716","http://dx.doi.org/10.3189/172756408784700716")</f>
        <v>http://dx.doi.org/10.3189/172756408784700716</v>
      </c>
      <c r="BG99" t="s">
        <v>74</v>
      </c>
      <c r="BH99" t="s">
        <v>74</v>
      </c>
      <c r="BI99">
        <v>3</v>
      </c>
      <c r="BJ99" t="s">
        <v>1824</v>
      </c>
      <c r="BK99" t="s">
        <v>842</v>
      </c>
      <c r="BL99" t="s">
        <v>98</v>
      </c>
      <c r="BM99" t="s">
        <v>1825</v>
      </c>
      <c r="BN99" t="s">
        <v>74</v>
      </c>
      <c r="BO99" t="s">
        <v>179</v>
      </c>
      <c r="BP99" t="s">
        <v>74</v>
      </c>
      <c r="BQ99" t="s">
        <v>74</v>
      </c>
      <c r="BR99" t="s">
        <v>100</v>
      </c>
      <c r="BS99" t="s">
        <v>1870</v>
      </c>
      <c r="BT99" t="str">
        <f>HYPERLINK("https%3A%2F%2Fwww.webofscience.com%2Fwos%2Fwoscc%2Ffull-record%2FWOS:000257063000017","View Full Record in Web of Science")</f>
        <v>View Full Record in Web of Science</v>
      </c>
    </row>
    <row r="100" spans="1:72" x14ac:dyDescent="0.15">
      <c r="A100" t="s">
        <v>816</v>
      </c>
      <c r="B100" t="s">
        <v>1871</v>
      </c>
      <c r="C100" t="s">
        <v>74</v>
      </c>
      <c r="D100" t="s">
        <v>1802</v>
      </c>
      <c r="E100" t="s">
        <v>74</v>
      </c>
      <c r="F100" t="s">
        <v>1872</v>
      </c>
      <c r="G100" t="s">
        <v>74</v>
      </c>
      <c r="H100" t="s">
        <v>74</v>
      </c>
      <c r="I100" t="s">
        <v>1873</v>
      </c>
      <c r="J100" t="s">
        <v>1805</v>
      </c>
      <c r="K100" t="s">
        <v>1806</v>
      </c>
      <c r="L100" t="s">
        <v>74</v>
      </c>
      <c r="M100" t="s">
        <v>78</v>
      </c>
      <c r="N100" t="s">
        <v>823</v>
      </c>
      <c r="O100" t="s">
        <v>1807</v>
      </c>
      <c r="P100" t="s">
        <v>1808</v>
      </c>
      <c r="Q100" t="s">
        <v>1809</v>
      </c>
      <c r="R100" t="s">
        <v>74</v>
      </c>
      <c r="S100" t="s">
        <v>74</v>
      </c>
      <c r="T100" t="s">
        <v>74</v>
      </c>
      <c r="U100" t="s">
        <v>1874</v>
      </c>
      <c r="V100" t="s">
        <v>1875</v>
      </c>
      <c r="W100" t="s">
        <v>1876</v>
      </c>
      <c r="X100" t="s">
        <v>1877</v>
      </c>
      <c r="Y100" t="s">
        <v>1878</v>
      </c>
      <c r="Z100" t="s">
        <v>1879</v>
      </c>
      <c r="AA100" t="s">
        <v>1880</v>
      </c>
      <c r="AB100" t="s">
        <v>1881</v>
      </c>
      <c r="AC100" t="s">
        <v>1882</v>
      </c>
      <c r="AD100" t="s">
        <v>1883</v>
      </c>
      <c r="AE100" t="s">
        <v>1884</v>
      </c>
      <c r="AF100" t="s">
        <v>74</v>
      </c>
      <c r="AG100">
        <v>43</v>
      </c>
      <c r="AH100">
        <v>17</v>
      </c>
      <c r="AI100">
        <v>19</v>
      </c>
      <c r="AJ100">
        <v>0</v>
      </c>
      <c r="AK100">
        <v>16</v>
      </c>
      <c r="AL100" t="s">
        <v>1818</v>
      </c>
      <c r="AM100" t="s">
        <v>1467</v>
      </c>
      <c r="AN100" t="s">
        <v>1819</v>
      </c>
      <c r="AO100" t="s">
        <v>1820</v>
      </c>
      <c r="AP100" t="s">
        <v>74</v>
      </c>
      <c r="AQ100" t="s">
        <v>1821</v>
      </c>
      <c r="AR100" t="s">
        <v>1822</v>
      </c>
      <c r="AS100" t="s">
        <v>74</v>
      </c>
      <c r="AT100" t="s">
        <v>74</v>
      </c>
      <c r="AU100">
        <v>2008</v>
      </c>
      <c r="AV100">
        <v>48</v>
      </c>
      <c r="AW100" t="s">
        <v>74</v>
      </c>
      <c r="AX100" t="s">
        <v>74</v>
      </c>
      <c r="AY100" t="s">
        <v>74</v>
      </c>
      <c r="AZ100" t="s">
        <v>74</v>
      </c>
      <c r="BA100" t="s">
        <v>74</v>
      </c>
      <c r="BB100">
        <v>159</v>
      </c>
      <c r="BC100" t="s">
        <v>865</v>
      </c>
      <c r="BD100" t="s">
        <v>74</v>
      </c>
      <c r="BE100" t="s">
        <v>1885</v>
      </c>
      <c r="BF100" t="str">
        <f>HYPERLINK("http://dx.doi.org/10.3189/172756408784700725","http://dx.doi.org/10.3189/172756408784700725")</f>
        <v>http://dx.doi.org/10.3189/172756408784700725</v>
      </c>
      <c r="BG100" t="s">
        <v>74</v>
      </c>
      <c r="BH100" t="s">
        <v>74</v>
      </c>
      <c r="BI100">
        <v>3</v>
      </c>
      <c r="BJ100" t="s">
        <v>1824</v>
      </c>
      <c r="BK100" t="s">
        <v>842</v>
      </c>
      <c r="BL100" t="s">
        <v>98</v>
      </c>
      <c r="BM100" t="s">
        <v>1825</v>
      </c>
      <c r="BN100" t="s">
        <v>74</v>
      </c>
      <c r="BO100" t="s">
        <v>1838</v>
      </c>
      <c r="BP100" t="s">
        <v>74</v>
      </c>
      <c r="BQ100" t="s">
        <v>74</v>
      </c>
      <c r="BR100" t="s">
        <v>100</v>
      </c>
      <c r="BS100" t="s">
        <v>1886</v>
      </c>
      <c r="BT100" t="str">
        <f>HYPERLINK("https%3A%2F%2Fwww.webofscience.com%2Fwos%2Fwoscc%2Ffull-record%2FWOS:000257063000022","View Full Record in Web of Science")</f>
        <v>View Full Record in Web of Science</v>
      </c>
    </row>
    <row r="101" spans="1:72" x14ac:dyDescent="0.15">
      <c r="A101" t="s">
        <v>816</v>
      </c>
      <c r="B101" t="s">
        <v>1887</v>
      </c>
      <c r="C101" t="s">
        <v>74</v>
      </c>
      <c r="D101" t="s">
        <v>1888</v>
      </c>
      <c r="E101" t="s">
        <v>74</v>
      </c>
      <c r="F101" t="s">
        <v>1889</v>
      </c>
      <c r="G101" t="s">
        <v>74</v>
      </c>
      <c r="H101" t="s">
        <v>74</v>
      </c>
      <c r="I101" t="s">
        <v>1890</v>
      </c>
      <c r="J101" t="s">
        <v>1891</v>
      </c>
      <c r="K101" t="s">
        <v>1806</v>
      </c>
      <c r="L101" t="s">
        <v>74</v>
      </c>
      <c r="M101" t="s">
        <v>78</v>
      </c>
      <c r="N101" t="s">
        <v>823</v>
      </c>
      <c r="O101" t="s">
        <v>1892</v>
      </c>
      <c r="P101" t="s">
        <v>1893</v>
      </c>
      <c r="Q101" t="s">
        <v>1894</v>
      </c>
      <c r="R101" t="s">
        <v>74</v>
      </c>
      <c r="S101" t="s">
        <v>74</v>
      </c>
      <c r="T101" t="s">
        <v>74</v>
      </c>
      <c r="U101" t="s">
        <v>1895</v>
      </c>
      <c r="V101" t="s">
        <v>1896</v>
      </c>
      <c r="W101" t="s">
        <v>1897</v>
      </c>
      <c r="X101" t="s">
        <v>1898</v>
      </c>
      <c r="Y101" t="s">
        <v>1899</v>
      </c>
      <c r="Z101" t="s">
        <v>1900</v>
      </c>
      <c r="AA101" t="s">
        <v>1901</v>
      </c>
      <c r="AB101" t="s">
        <v>1902</v>
      </c>
      <c r="AC101" t="s">
        <v>1903</v>
      </c>
      <c r="AD101" t="s">
        <v>1904</v>
      </c>
      <c r="AE101" t="s">
        <v>1905</v>
      </c>
      <c r="AF101" t="s">
        <v>74</v>
      </c>
      <c r="AG101">
        <v>29</v>
      </c>
      <c r="AH101">
        <v>5</v>
      </c>
      <c r="AI101">
        <v>10</v>
      </c>
      <c r="AJ101">
        <v>0</v>
      </c>
      <c r="AK101">
        <v>4</v>
      </c>
      <c r="AL101" t="s">
        <v>1818</v>
      </c>
      <c r="AM101" t="s">
        <v>1467</v>
      </c>
      <c r="AN101" t="s">
        <v>1819</v>
      </c>
      <c r="AO101" t="s">
        <v>1820</v>
      </c>
      <c r="AP101" t="s">
        <v>74</v>
      </c>
      <c r="AQ101" t="s">
        <v>74</v>
      </c>
      <c r="AR101" t="s">
        <v>1822</v>
      </c>
      <c r="AS101" t="s">
        <v>74</v>
      </c>
      <c r="AT101" t="s">
        <v>74</v>
      </c>
      <c r="AU101">
        <v>2008</v>
      </c>
      <c r="AV101">
        <v>49</v>
      </c>
      <c r="AW101" t="s">
        <v>74</v>
      </c>
      <c r="AX101" t="s">
        <v>74</v>
      </c>
      <c r="AY101" t="s">
        <v>74</v>
      </c>
      <c r="AZ101" t="s">
        <v>74</v>
      </c>
      <c r="BA101" t="s">
        <v>74</v>
      </c>
      <c r="BB101">
        <v>71</v>
      </c>
      <c r="BC101" t="s">
        <v>865</v>
      </c>
      <c r="BD101" t="s">
        <v>74</v>
      </c>
      <c r="BE101" t="s">
        <v>1906</v>
      </c>
      <c r="BF101" t="str">
        <f>HYPERLINK("http://dx.doi.org/10.3189/172756408787814889","http://dx.doi.org/10.3189/172756408787814889")</f>
        <v>http://dx.doi.org/10.3189/172756408787814889</v>
      </c>
      <c r="BG101" t="s">
        <v>74</v>
      </c>
      <c r="BH101" t="s">
        <v>74</v>
      </c>
      <c r="BI101">
        <v>3</v>
      </c>
      <c r="BJ101" t="s">
        <v>96</v>
      </c>
      <c r="BK101" t="s">
        <v>842</v>
      </c>
      <c r="BL101" t="s">
        <v>98</v>
      </c>
      <c r="BM101" t="s">
        <v>1907</v>
      </c>
      <c r="BN101" t="s">
        <v>74</v>
      </c>
      <c r="BO101" t="s">
        <v>179</v>
      </c>
      <c r="BP101" t="s">
        <v>74</v>
      </c>
      <c r="BQ101" t="s">
        <v>74</v>
      </c>
      <c r="BR101" t="s">
        <v>100</v>
      </c>
      <c r="BS101" t="s">
        <v>1908</v>
      </c>
      <c r="BT101" t="str">
        <f>HYPERLINK("https%3A%2F%2Fwww.webofscience.com%2Fwos%2Fwoscc%2Ffull-record%2FWOS:000264862900013","View Full Record in Web of Science")</f>
        <v>View Full Record in Web of Science</v>
      </c>
    </row>
    <row r="102" spans="1:72" x14ac:dyDescent="0.15">
      <c r="A102" t="s">
        <v>72</v>
      </c>
      <c r="B102" t="s">
        <v>1909</v>
      </c>
      <c r="C102" t="s">
        <v>74</v>
      </c>
      <c r="D102" t="s">
        <v>74</v>
      </c>
      <c r="E102" t="s">
        <v>74</v>
      </c>
      <c r="F102" t="s">
        <v>1910</v>
      </c>
      <c r="G102" t="s">
        <v>74</v>
      </c>
      <c r="H102" t="s">
        <v>74</v>
      </c>
      <c r="I102" t="s">
        <v>1911</v>
      </c>
      <c r="J102" t="s">
        <v>1912</v>
      </c>
      <c r="K102" t="s">
        <v>74</v>
      </c>
      <c r="L102" t="s">
        <v>74</v>
      </c>
      <c r="M102" t="s">
        <v>78</v>
      </c>
      <c r="N102" t="s">
        <v>79</v>
      </c>
      <c r="O102" t="s">
        <v>74</v>
      </c>
      <c r="P102" t="s">
        <v>74</v>
      </c>
      <c r="Q102" t="s">
        <v>74</v>
      </c>
      <c r="R102" t="s">
        <v>74</v>
      </c>
      <c r="S102" t="s">
        <v>74</v>
      </c>
      <c r="T102" t="s">
        <v>1913</v>
      </c>
      <c r="U102" t="s">
        <v>1914</v>
      </c>
      <c r="V102" t="s">
        <v>1915</v>
      </c>
      <c r="W102" t="s">
        <v>1916</v>
      </c>
      <c r="X102" t="s">
        <v>1917</v>
      </c>
      <c r="Y102" t="s">
        <v>1918</v>
      </c>
      <c r="Z102" t="s">
        <v>1919</v>
      </c>
      <c r="AA102" t="s">
        <v>74</v>
      </c>
      <c r="AB102" t="s">
        <v>74</v>
      </c>
      <c r="AC102" t="s">
        <v>74</v>
      </c>
      <c r="AD102" t="s">
        <v>74</v>
      </c>
      <c r="AE102" t="s">
        <v>74</v>
      </c>
      <c r="AF102" t="s">
        <v>74</v>
      </c>
      <c r="AG102">
        <v>23</v>
      </c>
      <c r="AH102">
        <v>2</v>
      </c>
      <c r="AI102">
        <v>4</v>
      </c>
      <c r="AJ102">
        <v>0</v>
      </c>
      <c r="AK102">
        <v>20</v>
      </c>
      <c r="AL102" t="s">
        <v>1265</v>
      </c>
      <c r="AM102" t="s">
        <v>662</v>
      </c>
      <c r="AN102" t="s">
        <v>1266</v>
      </c>
      <c r="AO102" t="s">
        <v>1920</v>
      </c>
      <c r="AP102" t="s">
        <v>1921</v>
      </c>
      <c r="AQ102" t="s">
        <v>74</v>
      </c>
      <c r="AR102" t="s">
        <v>1922</v>
      </c>
      <c r="AS102" t="s">
        <v>1923</v>
      </c>
      <c r="AT102" t="s">
        <v>74</v>
      </c>
      <c r="AU102">
        <v>2008</v>
      </c>
      <c r="AV102">
        <v>58</v>
      </c>
      <c r="AW102">
        <v>1</v>
      </c>
      <c r="AX102" t="s">
        <v>74</v>
      </c>
      <c r="AY102" t="s">
        <v>74</v>
      </c>
      <c r="AZ102" t="s">
        <v>74</v>
      </c>
      <c r="BA102" t="s">
        <v>74</v>
      </c>
      <c r="BB102">
        <v>29</v>
      </c>
      <c r="BC102">
        <v>33</v>
      </c>
      <c r="BD102" t="s">
        <v>74</v>
      </c>
      <c r="BE102" t="s">
        <v>1924</v>
      </c>
      <c r="BF102" t="str">
        <f>HYPERLINK("http://dx.doi.org/10.1007/BF03179441","http://dx.doi.org/10.1007/BF03179441")</f>
        <v>http://dx.doi.org/10.1007/BF03179441</v>
      </c>
      <c r="BG102" t="s">
        <v>74</v>
      </c>
      <c r="BH102" t="s">
        <v>74</v>
      </c>
      <c r="BI102">
        <v>5</v>
      </c>
      <c r="BJ102" t="s">
        <v>1925</v>
      </c>
      <c r="BK102" t="s">
        <v>97</v>
      </c>
      <c r="BL102" t="s">
        <v>1925</v>
      </c>
      <c r="BM102" t="s">
        <v>1926</v>
      </c>
      <c r="BN102" t="s">
        <v>74</v>
      </c>
      <c r="BO102" t="s">
        <v>179</v>
      </c>
      <c r="BP102" t="s">
        <v>74</v>
      </c>
      <c r="BQ102" t="s">
        <v>74</v>
      </c>
      <c r="BR102" t="s">
        <v>100</v>
      </c>
      <c r="BS102" t="s">
        <v>1927</v>
      </c>
      <c r="BT102" t="str">
        <f>HYPERLINK("https%3A%2F%2Fwww.webofscience.com%2Fwos%2Fwoscc%2Ffull-record%2FWOS:000254944600005","View Full Record in Web of Science")</f>
        <v>View Full Record in Web of Science</v>
      </c>
    </row>
    <row r="103" spans="1:72" x14ac:dyDescent="0.15">
      <c r="A103" t="s">
        <v>1199</v>
      </c>
      <c r="B103" t="s">
        <v>1928</v>
      </c>
      <c r="C103" t="s">
        <v>74</v>
      </c>
      <c r="D103" t="s">
        <v>74</v>
      </c>
      <c r="E103" t="s">
        <v>74</v>
      </c>
      <c r="F103" t="s">
        <v>1929</v>
      </c>
      <c r="G103" t="s">
        <v>74</v>
      </c>
      <c r="H103" t="s">
        <v>74</v>
      </c>
      <c r="I103" t="s">
        <v>1930</v>
      </c>
      <c r="J103" t="s">
        <v>1931</v>
      </c>
      <c r="K103" t="s">
        <v>1932</v>
      </c>
      <c r="L103" t="s">
        <v>74</v>
      </c>
      <c r="M103" t="s">
        <v>78</v>
      </c>
      <c r="N103" t="s">
        <v>1933</v>
      </c>
      <c r="O103" t="s">
        <v>74</v>
      </c>
      <c r="P103" t="s">
        <v>74</v>
      </c>
      <c r="Q103" t="s">
        <v>74</v>
      </c>
      <c r="R103" t="s">
        <v>74</v>
      </c>
      <c r="S103" t="s">
        <v>74</v>
      </c>
      <c r="T103" t="s">
        <v>1934</v>
      </c>
      <c r="U103" t="s">
        <v>1935</v>
      </c>
      <c r="V103" t="s">
        <v>1936</v>
      </c>
      <c r="W103" t="s">
        <v>1937</v>
      </c>
      <c r="X103" t="s">
        <v>1548</v>
      </c>
      <c r="Y103" t="s">
        <v>1938</v>
      </c>
      <c r="Z103" t="s">
        <v>1939</v>
      </c>
      <c r="AA103" t="s">
        <v>74</v>
      </c>
      <c r="AB103" t="s">
        <v>1940</v>
      </c>
      <c r="AC103" t="s">
        <v>74</v>
      </c>
      <c r="AD103" t="s">
        <v>74</v>
      </c>
      <c r="AE103" t="s">
        <v>74</v>
      </c>
      <c r="AF103" t="s">
        <v>74</v>
      </c>
      <c r="AG103">
        <v>48</v>
      </c>
      <c r="AH103">
        <v>85</v>
      </c>
      <c r="AI103">
        <v>96</v>
      </c>
      <c r="AJ103">
        <v>4</v>
      </c>
      <c r="AK103">
        <v>29</v>
      </c>
      <c r="AL103" t="s">
        <v>1941</v>
      </c>
      <c r="AM103" t="s">
        <v>1942</v>
      </c>
      <c r="AN103" t="s">
        <v>1943</v>
      </c>
      <c r="AO103" t="s">
        <v>1944</v>
      </c>
      <c r="AP103" t="s">
        <v>74</v>
      </c>
      <c r="AQ103" t="s">
        <v>1945</v>
      </c>
      <c r="AR103" t="s">
        <v>1946</v>
      </c>
      <c r="AS103" t="s">
        <v>1947</v>
      </c>
      <c r="AT103" t="s">
        <v>74</v>
      </c>
      <c r="AU103">
        <v>2008</v>
      </c>
      <c r="AV103">
        <v>40</v>
      </c>
      <c r="AW103" t="s">
        <v>74</v>
      </c>
      <c r="AX103" t="s">
        <v>74</v>
      </c>
      <c r="AY103" t="s">
        <v>74</v>
      </c>
      <c r="AZ103" t="s">
        <v>74</v>
      </c>
      <c r="BA103" t="s">
        <v>74</v>
      </c>
      <c r="BB103">
        <v>91</v>
      </c>
      <c r="BC103">
        <v>112</v>
      </c>
      <c r="BD103" t="s">
        <v>74</v>
      </c>
      <c r="BE103" t="s">
        <v>1948</v>
      </c>
      <c r="BF103" t="str">
        <f>HYPERLINK("http://dx.doi.org/10.1146/annurev.fluid.40.111406.102151","http://dx.doi.org/10.1146/annurev.fluid.40.111406.102151")</f>
        <v>http://dx.doi.org/10.1146/annurev.fluid.40.111406.102151</v>
      </c>
      <c r="BG103" t="s">
        <v>74</v>
      </c>
      <c r="BH103" t="s">
        <v>74</v>
      </c>
      <c r="BI103">
        <v>22</v>
      </c>
      <c r="BJ103" t="s">
        <v>1949</v>
      </c>
      <c r="BK103" t="s">
        <v>1950</v>
      </c>
      <c r="BL103" t="s">
        <v>1951</v>
      </c>
      <c r="BM103" t="s">
        <v>1952</v>
      </c>
      <c r="BN103" t="s">
        <v>74</v>
      </c>
      <c r="BO103" t="s">
        <v>74</v>
      </c>
      <c r="BP103" t="s">
        <v>74</v>
      </c>
      <c r="BQ103" t="s">
        <v>74</v>
      </c>
      <c r="BR103" t="s">
        <v>100</v>
      </c>
      <c r="BS103" t="s">
        <v>1953</v>
      </c>
      <c r="BT103" t="str">
        <f>HYPERLINK("https%3A%2F%2Fwww.webofscience.com%2Fwos%2Fwoscc%2Ffull-record%2FWOS:000252863300005","View Full Record in Web of Science")</f>
        <v>View Full Record in Web of Science</v>
      </c>
    </row>
    <row r="104" spans="1:72" x14ac:dyDescent="0.15">
      <c r="A104" t="s">
        <v>72</v>
      </c>
      <c r="B104" t="s">
        <v>1954</v>
      </c>
      <c r="C104" t="s">
        <v>74</v>
      </c>
      <c r="D104" t="s">
        <v>74</v>
      </c>
      <c r="E104" t="s">
        <v>74</v>
      </c>
      <c r="F104" t="s">
        <v>1955</v>
      </c>
      <c r="G104" t="s">
        <v>74</v>
      </c>
      <c r="H104" t="s">
        <v>74</v>
      </c>
      <c r="I104" t="s">
        <v>1956</v>
      </c>
      <c r="J104" t="s">
        <v>1957</v>
      </c>
      <c r="K104" t="s">
        <v>74</v>
      </c>
      <c r="L104" t="s">
        <v>74</v>
      </c>
      <c r="M104" t="s">
        <v>78</v>
      </c>
      <c r="N104" t="s">
        <v>79</v>
      </c>
      <c r="O104" t="s">
        <v>74</v>
      </c>
      <c r="P104" t="s">
        <v>74</v>
      </c>
      <c r="Q104" t="s">
        <v>74</v>
      </c>
      <c r="R104" t="s">
        <v>74</v>
      </c>
      <c r="S104" t="s">
        <v>74</v>
      </c>
      <c r="T104" t="s">
        <v>1958</v>
      </c>
      <c r="U104" t="s">
        <v>1959</v>
      </c>
      <c r="V104" t="s">
        <v>1960</v>
      </c>
      <c r="W104" t="s">
        <v>1961</v>
      </c>
      <c r="X104" t="s">
        <v>1962</v>
      </c>
      <c r="Y104" t="s">
        <v>1963</v>
      </c>
      <c r="Z104" t="s">
        <v>1964</v>
      </c>
      <c r="AA104" t="s">
        <v>74</v>
      </c>
      <c r="AB104" t="s">
        <v>74</v>
      </c>
      <c r="AC104" t="s">
        <v>1965</v>
      </c>
      <c r="AD104" t="s">
        <v>1966</v>
      </c>
      <c r="AE104" t="s">
        <v>1967</v>
      </c>
      <c r="AF104" t="s">
        <v>74</v>
      </c>
      <c r="AG104">
        <v>34</v>
      </c>
      <c r="AH104">
        <v>4</v>
      </c>
      <c r="AI104">
        <v>6</v>
      </c>
      <c r="AJ104">
        <v>0</v>
      </c>
      <c r="AK104">
        <v>16</v>
      </c>
      <c r="AL104" t="s">
        <v>1968</v>
      </c>
      <c r="AM104" t="s">
        <v>1969</v>
      </c>
      <c r="AN104" t="s">
        <v>1970</v>
      </c>
      <c r="AO104" t="s">
        <v>1971</v>
      </c>
      <c r="AP104" t="s">
        <v>1972</v>
      </c>
      <c r="AQ104" t="s">
        <v>74</v>
      </c>
      <c r="AR104" t="s">
        <v>1973</v>
      </c>
      <c r="AS104" t="s">
        <v>1974</v>
      </c>
      <c r="AT104" t="s">
        <v>74</v>
      </c>
      <c r="AU104">
        <v>2008</v>
      </c>
      <c r="AV104">
        <v>6</v>
      </c>
      <c r="AW104">
        <v>3</v>
      </c>
      <c r="AX104" t="s">
        <v>74</v>
      </c>
      <c r="AY104" t="s">
        <v>74</v>
      </c>
      <c r="AZ104" t="s">
        <v>74</v>
      </c>
      <c r="BA104" t="s">
        <v>74</v>
      </c>
      <c r="BB104">
        <v>21</v>
      </c>
      <c r="BC104">
        <v>31</v>
      </c>
      <c r="BD104" t="s">
        <v>74</v>
      </c>
      <c r="BE104" t="s">
        <v>1975</v>
      </c>
      <c r="BF104" t="str">
        <f>HYPERLINK("http://dx.doi.org/10.15666/aeer/0603_021031","http://dx.doi.org/10.15666/aeer/0603_021031")</f>
        <v>http://dx.doi.org/10.15666/aeer/0603_021031</v>
      </c>
      <c r="BG104" t="s">
        <v>74</v>
      </c>
      <c r="BH104" t="s">
        <v>74</v>
      </c>
      <c r="BI104">
        <v>11</v>
      </c>
      <c r="BJ104" t="s">
        <v>1976</v>
      </c>
      <c r="BK104" t="s">
        <v>97</v>
      </c>
      <c r="BL104" t="s">
        <v>275</v>
      </c>
      <c r="BM104" t="s">
        <v>1977</v>
      </c>
      <c r="BN104" t="s">
        <v>74</v>
      </c>
      <c r="BO104" t="s">
        <v>179</v>
      </c>
      <c r="BP104" t="s">
        <v>74</v>
      </c>
      <c r="BQ104" t="s">
        <v>74</v>
      </c>
      <c r="BR104" t="s">
        <v>100</v>
      </c>
      <c r="BS104" t="s">
        <v>1978</v>
      </c>
      <c r="BT104" t="str">
        <f>HYPERLINK("https%3A%2F%2Fwww.webofscience.com%2Fwos%2Fwoscc%2Ffull-record%2FWOS:000265576400002","View Full Record in Web of Science")</f>
        <v>View Full Record in Web of Science</v>
      </c>
    </row>
    <row r="105" spans="1:72" x14ac:dyDescent="0.15">
      <c r="A105" t="s">
        <v>72</v>
      </c>
      <c r="B105" t="s">
        <v>1979</v>
      </c>
      <c r="C105" t="s">
        <v>74</v>
      </c>
      <c r="D105" t="s">
        <v>74</v>
      </c>
      <c r="E105" t="s">
        <v>74</v>
      </c>
      <c r="F105" t="s">
        <v>1980</v>
      </c>
      <c r="G105" t="s">
        <v>74</v>
      </c>
      <c r="H105" t="s">
        <v>74</v>
      </c>
      <c r="I105" t="s">
        <v>1981</v>
      </c>
      <c r="J105" t="s">
        <v>1957</v>
      </c>
      <c r="K105" t="s">
        <v>74</v>
      </c>
      <c r="L105" t="s">
        <v>74</v>
      </c>
      <c r="M105" t="s">
        <v>78</v>
      </c>
      <c r="N105" t="s">
        <v>79</v>
      </c>
      <c r="O105" t="s">
        <v>74</v>
      </c>
      <c r="P105" t="s">
        <v>74</v>
      </c>
      <c r="Q105" t="s">
        <v>74</v>
      </c>
      <c r="R105" t="s">
        <v>74</v>
      </c>
      <c r="S105" t="s">
        <v>74</v>
      </c>
      <c r="T105" t="s">
        <v>1982</v>
      </c>
      <c r="U105" t="s">
        <v>1983</v>
      </c>
      <c r="V105" t="s">
        <v>1984</v>
      </c>
      <c r="W105" t="s">
        <v>1985</v>
      </c>
      <c r="X105" t="s">
        <v>1986</v>
      </c>
      <c r="Y105" t="s">
        <v>1987</v>
      </c>
      <c r="Z105" t="s">
        <v>1988</v>
      </c>
      <c r="AA105" t="s">
        <v>1989</v>
      </c>
      <c r="AB105" t="s">
        <v>1990</v>
      </c>
      <c r="AC105" t="s">
        <v>1991</v>
      </c>
      <c r="AD105" t="s">
        <v>1991</v>
      </c>
      <c r="AE105" t="s">
        <v>1992</v>
      </c>
      <c r="AF105" t="s">
        <v>74</v>
      </c>
      <c r="AG105">
        <v>19</v>
      </c>
      <c r="AH105">
        <v>77</v>
      </c>
      <c r="AI105">
        <v>79</v>
      </c>
      <c r="AJ105">
        <v>0</v>
      </c>
      <c r="AK105">
        <v>4</v>
      </c>
      <c r="AL105" t="s">
        <v>1968</v>
      </c>
      <c r="AM105" t="s">
        <v>1969</v>
      </c>
      <c r="AN105" t="s">
        <v>1970</v>
      </c>
      <c r="AO105" t="s">
        <v>1971</v>
      </c>
      <c r="AP105" t="s">
        <v>1972</v>
      </c>
      <c r="AQ105" t="s">
        <v>74</v>
      </c>
      <c r="AR105" t="s">
        <v>1973</v>
      </c>
      <c r="AS105" t="s">
        <v>1974</v>
      </c>
      <c r="AT105" t="s">
        <v>74</v>
      </c>
      <c r="AU105">
        <v>2008</v>
      </c>
      <c r="AV105">
        <v>6</v>
      </c>
      <c r="AW105">
        <v>1</v>
      </c>
      <c r="AX105" t="s">
        <v>74</v>
      </c>
      <c r="AY105" t="s">
        <v>74</v>
      </c>
      <c r="AZ105" t="s">
        <v>74</v>
      </c>
      <c r="BA105" t="s">
        <v>74</v>
      </c>
      <c r="BB105">
        <v>57</v>
      </c>
      <c r="BC105">
        <v>64</v>
      </c>
      <c r="BD105" t="s">
        <v>74</v>
      </c>
      <c r="BE105" t="s">
        <v>74</v>
      </c>
      <c r="BF105" t="s">
        <v>74</v>
      </c>
      <c r="BG105" t="s">
        <v>74</v>
      </c>
      <c r="BH105" t="s">
        <v>74</v>
      </c>
      <c r="BI105">
        <v>8</v>
      </c>
      <c r="BJ105" t="s">
        <v>1976</v>
      </c>
      <c r="BK105" t="s">
        <v>97</v>
      </c>
      <c r="BL105" t="s">
        <v>275</v>
      </c>
      <c r="BM105" t="s">
        <v>1993</v>
      </c>
      <c r="BN105" t="s">
        <v>74</v>
      </c>
      <c r="BO105" t="s">
        <v>74</v>
      </c>
      <c r="BP105" t="s">
        <v>74</v>
      </c>
      <c r="BQ105" t="s">
        <v>74</v>
      </c>
      <c r="BR105" t="s">
        <v>100</v>
      </c>
      <c r="BS105" t="s">
        <v>1994</v>
      </c>
      <c r="BT105" t="str">
        <f>HYPERLINK("https%3A%2F%2Fwww.webofscience.com%2Fwos%2Fwoscc%2Ffull-record%2FWOS:000259019300004","View Full Record in Web of Science")</f>
        <v>View Full Record in Web of Science</v>
      </c>
    </row>
    <row r="106" spans="1:72" x14ac:dyDescent="0.15">
      <c r="A106" t="s">
        <v>72</v>
      </c>
      <c r="B106" t="s">
        <v>1995</v>
      </c>
      <c r="C106" t="s">
        <v>74</v>
      </c>
      <c r="D106" t="s">
        <v>74</v>
      </c>
      <c r="E106" t="s">
        <v>74</v>
      </c>
      <c r="F106" t="s">
        <v>1996</v>
      </c>
      <c r="G106" t="s">
        <v>74</v>
      </c>
      <c r="H106" t="s">
        <v>74</v>
      </c>
      <c r="I106" t="s">
        <v>1997</v>
      </c>
      <c r="J106" t="s">
        <v>1998</v>
      </c>
      <c r="K106" t="s">
        <v>74</v>
      </c>
      <c r="L106" t="s">
        <v>74</v>
      </c>
      <c r="M106" t="s">
        <v>78</v>
      </c>
      <c r="N106" t="s">
        <v>79</v>
      </c>
      <c r="O106" t="s">
        <v>74</v>
      </c>
      <c r="P106" t="s">
        <v>74</v>
      </c>
      <c r="Q106" t="s">
        <v>74</v>
      </c>
      <c r="R106" t="s">
        <v>74</v>
      </c>
      <c r="S106" t="s">
        <v>74</v>
      </c>
      <c r="T106" t="s">
        <v>1999</v>
      </c>
      <c r="U106" t="s">
        <v>2000</v>
      </c>
      <c r="V106" t="s">
        <v>2001</v>
      </c>
      <c r="W106" t="s">
        <v>2002</v>
      </c>
      <c r="X106" t="s">
        <v>2003</v>
      </c>
      <c r="Y106" t="s">
        <v>2004</v>
      </c>
      <c r="Z106" t="s">
        <v>2005</v>
      </c>
      <c r="AA106" t="s">
        <v>74</v>
      </c>
      <c r="AB106" t="s">
        <v>2006</v>
      </c>
      <c r="AC106" t="s">
        <v>2007</v>
      </c>
      <c r="AD106" t="s">
        <v>2008</v>
      </c>
      <c r="AE106" t="s">
        <v>2009</v>
      </c>
      <c r="AF106" t="s">
        <v>74</v>
      </c>
      <c r="AG106">
        <v>37</v>
      </c>
      <c r="AH106">
        <v>44</v>
      </c>
      <c r="AI106">
        <v>47</v>
      </c>
      <c r="AJ106">
        <v>0</v>
      </c>
      <c r="AK106">
        <v>19</v>
      </c>
      <c r="AL106" t="s">
        <v>167</v>
      </c>
      <c r="AM106" t="s">
        <v>168</v>
      </c>
      <c r="AN106" t="s">
        <v>169</v>
      </c>
      <c r="AO106" t="s">
        <v>2010</v>
      </c>
      <c r="AP106" t="s">
        <v>2011</v>
      </c>
      <c r="AQ106" t="s">
        <v>74</v>
      </c>
      <c r="AR106" t="s">
        <v>2012</v>
      </c>
      <c r="AS106" t="s">
        <v>2013</v>
      </c>
      <c r="AT106" t="s">
        <v>74</v>
      </c>
      <c r="AU106">
        <v>2008</v>
      </c>
      <c r="AV106">
        <v>4</v>
      </c>
      <c r="AW106">
        <v>2</v>
      </c>
      <c r="AX106" t="s">
        <v>74</v>
      </c>
      <c r="AY106" t="s">
        <v>74</v>
      </c>
      <c r="AZ106" t="s">
        <v>74</v>
      </c>
      <c r="BA106" t="s">
        <v>74</v>
      </c>
      <c r="BB106">
        <v>155</v>
      </c>
      <c r="BC106">
        <v>166</v>
      </c>
      <c r="BD106" t="s">
        <v>74</v>
      </c>
      <c r="BE106" t="s">
        <v>2014</v>
      </c>
      <c r="BF106" t="str">
        <f>HYPERLINK("http://dx.doi.org/10.3354/ab00103","http://dx.doi.org/10.3354/ab00103")</f>
        <v>http://dx.doi.org/10.3354/ab00103</v>
      </c>
      <c r="BG106" t="s">
        <v>74</v>
      </c>
      <c r="BH106" t="s">
        <v>74</v>
      </c>
      <c r="BI106">
        <v>12</v>
      </c>
      <c r="BJ106" t="s">
        <v>2015</v>
      </c>
      <c r="BK106" t="s">
        <v>97</v>
      </c>
      <c r="BL106" t="s">
        <v>2015</v>
      </c>
      <c r="BM106" t="s">
        <v>2016</v>
      </c>
      <c r="BN106" t="s">
        <v>74</v>
      </c>
      <c r="BO106" t="s">
        <v>179</v>
      </c>
      <c r="BP106" t="s">
        <v>74</v>
      </c>
      <c r="BQ106" t="s">
        <v>74</v>
      </c>
      <c r="BR106" t="s">
        <v>100</v>
      </c>
      <c r="BS106" t="s">
        <v>2017</v>
      </c>
      <c r="BT106" t="str">
        <f>HYPERLINK("https%3A%2F%2Fwww.webofscience.com%2Fwos%2Fwoscc%2Ffull-record%2FWOS:000262421200006","View Full Record in Web of Science")</f>
        <v>View Full Record in Web of Science</v>
      </c>
    </row>
    <row r="107" spans="1:72" x14ac:dyDescent="0.15">
      <c r="A107" t="s">
        <v>72</v>
      </c>
      <c r="B107" t="s">
        <v>2018</v>
      </c>
      <c r="C107" t="s">
        <v>74</v>
      </c>
      <c r="D107" t="s">
        <v>74</v>
      </c>
      <c r="E107" t="s">
        <v>74</v>
      </c>
      <c r="F107" t="s">
        <v>2019</v>
      </c>
      <c r="G107" t="s">
        <v>74</v>
      </c>
      <c r="H107" t="s">
        <v>74</v>
      </c>
      <c r="I107" t="s">
        <v>2020</v>
      </c>
      <c r="J107" t="s">
        <v>1998</v>
      </c>
      <c r="K107" t="s">
        <v>74</v>
      </c>
      <c r="L107" t="s">
        <v>74</v>
      </c>
      <c r="M107" t="s">
        <v>78</v>
      </c>
      <c r="N107" t="s">
        <v>79</v>
      </c>
      <c r="O107" t="s">
        <v>74</v>
      </c>
      <c r="P107" t="s">
        <v>74</v>
      </c>
      <c r="Q107" t="s">
        <v>74</v>
      </c>
      <c r="R107" t="s">
        <v>74</v>
      </c>
      <c r="S107" t="s">
        <v>74</v>
      </c>
      <c r="T107" t="s">
        <v>2021</v>
      </c>
      <c r="U107" t="s">
        <v>2022</v>
      </c>
      <c r="V107" t="s">
        <v>2023</v>
      </c>
      <c r="W107" t="s">
        <v>2024</v>
      </c>
      <c r="X107" t="s">
        <v>2025</v>
      </c>
      <c r="Y107" t="s">
        <v>2026</v>
      </c>
      <c r="Z107" t="s">
        <v>2027</v>
      </c>
      <c r="AA107" t="s">
        <v>2028</v>
      </c>
      <c r="AB107" t="s">
        <v>2029</v>
      </c>
      <c r="AC107" t="s">
        <v>2030</v>
      </c>
      <c r="AD107" t="s">
        <v>2031</v>
      </c>
      <c r="AE107" t="s">
        <v>2032</v>
      </c>
      <c r="AF107" t="s">
        <v>74</v>
      </c>
      <c r="AG107">
        <v>32</v>
      </c>
      <c r="AH107">
        <v>18</v>
      </c>
      <c r="AI107">
        <v>19</v>
      </c>
      <c r="AJ107">
        <v>0</v>
      </c>
      <c r="AK107">
        <v>9</v>
      </c>
      <c r="AL107" t="s">
        <v>167</v>
      </c>
      <c r="AM107" t="s">
        <v>168</v>
      </c>
      <c r="AN107" t="s">
        <v>169</v>
      </c>
      <c r="AO107" t="s">
        <v>2010</v>
      </c>
      <c r="AP107" t="s">
        <v>74</v>
      </c>
      <c r="AQ107" t="s">
        <v>74</v>
      </c>
      <c r="AR107" t="s">
        <v>2012</v>
      </c>
      <c r="AS107" t="s">
        <v>2013</v>
      </c>
      <c r="AT107" t="s">
        <v>74</v>
      </c>
      <c r="AU107">
        <v>2008</v>
      </c>
      <c r="AV107">
        <v>3</v>
      </c>
      <c r="AW107">
        <v>2</v>
      </c>
      <c r="AX107" t="s">
        <v>74</v>
      </c>
      <c r="AY107" t="s">
        <v>74</v>
      </c>
      <c r="AZ107" t="s">
        <v>74</v>
      </c>
      <c r="BA107" t="s">
        <v>74</v>
      </c>
      <c r="BB107">
        <v>147</v>
      </c>
      <c r="BC107">
        <v>154</v>
      </c>
      <c r="BD107" t="s">
        <v>74</v>
      </c>
      <c r="BE107" t="s">
        <v>2033</v>
      </c>
      <c r="BF107" t="str">
        <f>HYPERLINK("http://dx.doi.org/10.3354/ab00074","http://dx.doi.org/10.3354/ab00074")</f>
        <v>http://dx.doi.org/10.3354/ab00074</v>
      </c>
      <c r="BG107" t="s">
        <v>74</v>
      </c>
      <c r="BH107" t="s">
        <v>74</v>
      </c>
      <c r="BI107">
        <v>8</v>
      </c>
      <c r="BJ107" t="s">
        <v>2015</v>
      </c>
      <c r="BK107" t="s">
        <v>97</v>
      </c>
      <c r="BL107" t="s">
        <v>2015</v>
      </c>
      <c r="BM107" t="s">
        <v>2034</v>
      </c>
      <c r="BN107" t="s">
        <v>74</v>
      </c>
      <c r="BO107" t="s">
        <v>179</v>
      </c>
      <c r="BP107" t="s">
        <v>74</v>
      </c>
      <c r="BQ107" t="s">
        <v>74</v>
      </c>
      <c r="BR107" t="s">
        <v>100</v>
      </c>
      <c r="BS107" t="s">
        <v>2035</v>
      </c>
      <c r="BT107" t="str">
        <f>HYPERLINK("https%3A%2F%2Fwww.webofscience.com%2Fwos%2Fwoscc%2Ffull-record%2FWOS:000260231800006","View Full Record in Web of Science")</f>
        <v>View Full Record in Web of Science</v>
      </c>
    </row>
    <row r="108" spans="1:72" x14ac:dyDescent="0.15">
      <c r="A108" t="s">
        <v>72</v>
      </c>
      <c r="B108" t="s">
        <v>2036</v>
      </c>
      <c r="C108" t="s">
        <v>74</v>
      </c>
      <c r="D108" t="s">
        <v>74</v>
      </c>
      <c r="E108" t="s">
        <v>74</v>
      </c>
      <c r="F108" t="s">
        <v>2037</v>
      </c>
      <c r="G108" t="s">
        <v>74</v>
      </c>
      <c r="H108" t="s">
        <v>74</v>
      </c>
      <c r="I108" t="s">
        <v>2038</v>
      </c>
      <c r="J108" t="s">
        <v>1998</v>
      </c>
      <c r="K108" t="s">
        <v>74</v>
      </c>
      <c r="L108" t="s">
        <v>74</v>
      </c>
      <c r="M108" t="s">
        <v>78</v>
      </c>
      <c r="N108" t="s">
        <v>79</v>
      </c>
      <c r="O108" t="s">
        <v>74</v>
      </c>
      <c r="P108" t="s">
        <v>74</v>
      </c>
      <c r="Q108" t="s">
        <v>74</v>
      </c>
      <c r="R108" t="s">
        <v>74</v>
      </c>
      <c r="S108" t="s">
        <v>74</v>
      </c>
      <c r="T108" t="s">
        <v>2039</v>
      </c>
      <c r="U108" t="s">
        <v>2040</v>
      </c>
      <c r="V108" t="s">
        <v>2041</v>
      </c>
      <c r="W108" t="s">
        <v>2042</v>
      </c>
      <c r="X108" t="s">
        <v>2043</v>
      </c>
      <c r="Y108" t="s">
        <v>2044</v>
      </c>
      <c r="Z108" t="s">
        <v>2045</v>
      </c>
      <c r="AA108" t="s">
        <v>2046</v>
      </c>
      <c r="AB108" t="s">
        <v>2047</v>
      </c>
      <c r="AC108" t="s">
        <v>2048</v>
      </c>
      <c r="AD108" t="s">
        <v>2049</v>
      </c>
      <c r="AE108" t="s">
        <v>2050</v>
      </c>
      <c r="AF108" t="s">
        <v>74</v>
      </c>
      <c r="AG108">
        <v>56</v>
      </c>
      <c r="AH108">
        <v>18</v>
      </c>
      <c r="AI108">
        <v>20</v>
      </c>
      <c r="AJ108">
        <v>2</v>
      </c>
      <c r="AK108">
        <v>12</v>
      </c>
      <c r="AL108" t="s">
        <v>167</v>
      </c>
      <c r="AM108" t="s">
        <v>168</v>
      </c>
      <c r="AN108" t="s">
        <v>169</v>
      </c>
      <c r="AO108" t="s">
        <v>2010</v>
      </c>
      <c r="AP108" t="s">
        <v>2011</v>
      </c>
      <c r="AQ108" t="s">
        <v>74</v>
      </c>
      <c r="AR108" t="s">
        <v>2012</v>
      </c>
      <c r="AS108" t="s">
        <v>2013</v>
      </c>
      <c r="AT108" t="s">
        <v>74</v>
      </c>
      <c r="AU108">
        <v>2008</v>
      </c>
      <c r="AV108">
        <v>3</v>
      </c>
      <c r="AW108">
        <v>2</v>
      </c>
      <c r="AX108" t="s">
        <v>74</v>
      </c>
      <c r="AY108" t="s">
        <v>74</v>
      </c>
      <c r="AZ108" t="s">
        <v>74</v>
      </c>
      <c r="BA108" t="s">
        <v>74</v>
      </c>
      <c r="BB108">
        <v>167</v>
      </c>
      <c r="BC108">
        <v>177</v>
      </c>
      <c r="BD108" t="s">
        <v>74</v>
      </c>
      <c r="BE108" t="s">
        <v>2051</v>
      </c>
      <c r="BF108" t="str">
        <f>HYPERLINK("http://dx.doi.org/10.3354/ab00076","http://dx.doi.org/10.3354/ab00076")</f>
        <v>http://dx.doi.org/10.3354/ab00076</v>
      </c>
      <c r="BG108" t="s">
        <v>74</v>
      </c>
      <c r="BH108" t="s">
        <v>74</v>
      </c>
      <c r="BI108">
        <v>11</v>
      </c>
      <c r="BJ108" t="s">
        <v>2015</v>
      </c>
      <c r="BK108" t="s">
        <v>97</v>
      </c>
      <c r="BL108" t="s">
        <v>2015</v>
      </c>
      <c r="BM108" t="s">
        <v>2034</v>
      </c>
      <c r="BN108" t="s">
        <v>74</v>
      </c>
      <c r="BO108" t="s">
        <v>1838</v>
      </c>
      <c r="BP108" t="s">
        <v>74</v>
      </c>
      <c r="BQ108" t="s">
        <v>74</v>
      </c>
      <c r="BR108" t="s">
        <v>100</v>
      </c>
      <c r="BS108" t="s">
        <v>2052</v>
      </c>
      <c r="BT108" t="str">
        <f>HYPERLINK("https%3A%2F%2Fwww.webofscience.com%2Fwos%2Fwoscc%2Ffull-record%2FWOS:000260231800008","View Full Record in Web of Science")</f>
        <v>View Full Record in Web of Science</v>
      </c>
    </row>
    <row r="109" spans="1:72" x14ac:dyDescent="0.15">
      <c r="A109" t="s">
        <v>72</v>
      </c>
      <c r="B109" t="s">
        <v>2053</v>
      </c>
      <c r="C109" t="s">
        <v>74</v>
      </c>
      <c r="D109" t="s">
        <v>74</v>
      </c>
      <c r="E109" t="s">
        <v>74</v>
      </c>
      <c r="F109" t="s">
        <v>2054</v>
      </c>
      <c r="G109" t="s">
        <v>74</v>
      </c>
      <c r="H109" t="s">
        <v>74</v>
      </c>
      <c r="I109" t="s">
        <v>2055</v>
      </c>
      <c r="J109" t="s">
        <v>159</v>
      </c>
      <c r="K109" t="s">
        <v>74</v>
      </c>
      <c r="L109" t="s">
        <v>74</v>
      </c>
      <c r="M109" t="s">
        <v>78</v>
      </c>
      <c r="N109" t="s">
        <v>79</v>
      </c>
      <c r="O109" t="s">
        <v>74</v>
      </c>
      <c r="P109" t="s">
        <v>74</v>
      </c>
      <c r="Q109" t="s">
        <v>74</v>
      </c>
      <c r="R109" t="s">
        <v>74</v>
      </c>
      <c r="S109" t="s">
        <v>74</v>
      </c>
      <c r="T109" t="s">
        <v>2056</v>
      </c>
      <c r="U109" t="s">
        <v>2057</v>
      </c>
      <c r="V109" t="s">
        <v>2058</v>
      </c>
      <c r="W109" t="s">
        <v>2059</v>
      </c>
      <c r="X109" t="s">
        <v>2060</v>
      </c>
      <c r="Y109" t="s">
        <v>2061</v>
      </c>
      <c r="Z109" t="s">
        <v>2062</v>
      </c>
      <c r="AA109" t="s">
        <v>2063</v>
      </c>
      <c r="AB109" t="s">
        <v>2064</v>
      </c>
      <c r="AC109" t="s">
        <v>74</v>
      </c>
      <c r="AD109" t="s">
        <v>74</v>
      </c>
      <c r="AE109" t="s">
        <v>74</v>
      </c>
      <c r="AF109" t="s">
        <v>74</v>
      </c>
      <c r="AG109">
        <v>38</v>
      </c>
      <c r="AH109">
        <v>12</v>
      </c>
      <c r="AI109">
        <v>13</v>
      </c>
      <c r="AJ109">
        <v>0</v>
      </c>
      <c r="AK109">
        <v>18</v>
      </c>
      <c r="AL109" t="s">
        <v>167</v>
      </c>
      <c r="AM109" t="s">
        <v>168</v>
      </c>
      <c r="AN109" t="s">
        <v>169</v>
      </c>
      <c r="AO109" t="s">
        <v>170</v>
      </c>
      <c r="AP109" t="s">
        <v>171</v>
      </c>
      <c r="AQ109" t="s">
        <v>74</v>
      </c>
      <c r="AR109" t="s">
        <v>172</v>
      </c>
      <c r="AS109" t="s">
        <v>173</v>
      </c>
      <c r="AT109" t="s">
        <v>74</v>
      </c>
      <c r="AU109">
        <v>2008</v>
      </c>
      <c r="AV109">
        <v>52</v>
      </c>
      <c r="AW109">
        <v>1</v>
      </c>
      <c r="AX109" t="s">
        <v>74</v>
      </c>
      <c r="AY109" t="s">
        <v>74</v>
      </c>
      <c r="AZ109" t="s">
        <v>74</v>
      </c>
      <c r="BA109" t="s">
        <v>74</v>
      </c>
      <c r="BB109">
        <v>25</v>
      </c>
      <c r="BC109">
        <v>31</v>
      </c>
      <c r="BD109" t="s">
        <v>74</v>
      </c>
      <c r="BE109" t="s">
        <v>2065</v>
      </c>
      <c r="BF109" t="str">
        <f>HYPERLINK("http://dx.doi.org/10.3354/ame01205","http://dx.doi.org/10.3354/ame01205")</f>
        <v>http://dx.doi.org/10.3354/ame01205</v>
      </c>
      <c r="BG109" t="s">
        <v>74</v>
      </c>
      <c r="BH109" t="s">
        <v>74</v>
      </c>
      <c r="BI109">
        <v>7</v>
      </c>
      <c r="BJ109" t="s">
        <v>176</v>
      </c>
      <c r="BK109" t="s">
        <v>97</v>
      </c>
      <c r="BL109" t="s">
        <v>177</v>
      </c>
      <c r="BM109" t="s">
        <v>2066</v>
      </c>
      <c r="BN109" t="s">
        <v>74</v>
      </c>
      <c r="BO109" t="s">
        <v>179</v>
      </c>
      <c r="BP109" t="s">
        <v>74</v>
      </c>
      <c r="BQ109" t="s">
        <v>74</v>
      </c>
      <c r="BR109" t="s">
        <v>100</v>
      </c>
      <c r="BS109" t="s">
        <v>2067</v>
      </c>
      <c r="BT109" t="str">
        <f>HYPERLINK("https%3A%2F%2Fwww.webofscience.com%2Fwos%2Fwoscc%2Ffull-record%2FWOS:000258334700003","View Full Record in Web of Science")</f>
        <v>View Full Record in Web of Science</v>
      </c>
    </row>
    <row r="110" spans="1:72" x14ac:dyDescent="0.15">
      <c r="A110" t="s">
        <v>72</v>
      </c>
      <c r="B110" t="s">
        <v>2068</v>
      </c>
      <c r="C110" t="s">
        <v>74</v>
      </c>
      <c r="D110" t="s">
        <v>74</v>
      </c>
      <c r="E110" t="s">
        <v>74</v>
      </c>
      <c r="F110" t="s">
        <v>2069</v>
      </c>
      <c r="G110" t="s">
        <v>74</v>
      </c>
      <c r="H110" t="s">
        <v>74</v>
      </c>
      <c r="I110" t="s">
        <v>2070</v>
      </c>
      <c r="J110" t="s">
        <v>159</v>
      </c>
      <c r="K110" t="s">
        <v>74</v>
      </c>
      <c r="L110" t="s">
        <v>74</v>
      </c>
      <c r="M110" t="s">
        <v>78</v>
      </c>
      <c r="N110" t="s">
        <v>79</v>
      </c>
      <c r="O110" t="s">
        <v>74</v>
      </c>
      <c r="P110" t="s">
        <v>74</v>
      </c>
      <c r="Q110" t="s">
        <v>74</v>
      </c>
      <c r="R110" t="s">
        <v>74</v>
      </c>
      <c r="S110" t="s">
        <v>74</v>
      </c>
      <c r="T110" t="s">
        <v>2071</v>
      </c>
      <c r="U110" t="s">
        <v>2072</v>
      </c>
      <c r="V110" t="s">
        <v>2073</v>
      </c>
      <c r="W110" t="s">
        <v>2074</v>
      </c>
      <c r="X110" t="s">
        <v>2075</v>
      </c>
      <c r="Y110" t="s">
        <v>2076</v>
      </c>
      <c r="Z110" t="s">
        <v>2077</v>
      </c>
      <c r="AA110" t="s">
        <v>2078</v>
      </c>
      <c r="AB110" t="s">
        <v>2079</v>
      </c>
      <c r="AC110" t="s">
        <v>74</v>
      </c>
      <c r="AD110" t="s">
        <v>74</v>
      </c>
      <c r="AE110" t="s">
        <v>74</v>
      </c>
      <c r="AF110" t="s">
        <v>74</v>
      </c>
      <c r="AG110">
        <v>44</v>
      </c>
      <c r="AH110">
        <v>28</v>
      </c>
      <c r="AI110">
        <v>33</v>
      </c>
      <c r="AJ110">
        <v>1</v>
      </c>
      <c r="AK110">
        <v>19</v>
      </c>
      <c r="AL110" t="s">
        <v>167</v>
      </c>
      <c r="AM110" t="s">
        <v>168</v>
      </c>
      <c r="AN110" t="s">
        <v>169</v>
      </c>
      <c r="AO110" t="s">
        <v>170</v>
      </c>
      <c r="AP110" t="s">
        <v>171</v>
      </c>
      <c r="AQ110" t="s">
        <v>74</v>
      </c>
      <c r="AR110" t="s">
        <v>172</v>
      </c>
      <c r="AS110" t="s">
        <v>173</v>
      </c>
      <c r="AT110" t="s">
        <v>74</v>
      </c>
      <c r="AU110">
        <v>2008</v>
      </c>
      <c r="AV110">
        <v>52</v>
      </c>
      <c r="AW110">
        <v>1</v>
      </c>
      <c r="AX110" t="s">
        <v>74</v>
      </c>
      <c r="AY110" t="s">
        <v>74</v>
      </c>
      <c r="AZ110" t="s">
        <v>74</v>
      </c>
      <c r="BA110" t="s">
        <v>74</v>
      </c>
      <c r="BB110">
        <v>99</v>
      </c>
      <c r="BC110">
        <v>106</v>
      </c>
      <c r="BD110" t="s">
        <v>74</v>
      </c>
      <c r="BE110" t="s">
        <v>2080</v>
      </c>
      <c r="BF110" t="str">
        <f>HYPERLINK("http://dx.doi.org/10.3354/ame01216","http://dx.doi.org/10.3354/ame01216")</f>
        <v>http://dx.doi.org/10.3354/ame01216</v>
      </c>
      <c r="BG110" t="s">
        <v>74</v>
      </c>
      <c r="BH110" t="s">
        <v>74</v>
      </c>
      <c r="BI110">
        <v>8</v>
      </c>
      <c r="BJ110" t="s">
        <v>176</v>
      </c>
      <c r="BK110" t="s">
        <v>97</v>
      </c>
      <c r="BL110" t="s">
        <v>177</v>
      </c>
      <c r="BM110" t="s">
        <v>2066</v>
      </c>
      <c r="BN110" t="s">
        <v>74</v>
      </c>
      <c r="BO110" t="s">
        <v>610</v>
      </c>
      <c r="BP110" t="s">
        <v>74</v>
      </c>
      <c r="BQ110" t="s">
        <v>74</v>
      </c>
      <c r="BR110" t="s">
        <v>100</v>
      </c>
      <c r="BS110" t="s">
        <v>2081</v>
      </c>
      <c r="BT110" t="str">
        <f>HYPERLINK("https%3A%2F%2Fwww.webofscience.com%2Fwos%2Fwoscc%2Ffull-record%2FWOS:000258334700009","View Full Record in Web of Science")</f>
        <v>View Full Record in Web of Science</v>
      </c>
    </row>
    <row r="111" spans="1:72" x14ac:dyDescent="0.15">
      <c r="A111" t="s">
        <v>72</v>
      </c>
      <c r="B111" t="s">
        <v>2082</v>
      </c>
      <c r="C111" t="s">
        <v>74</v>
      </c>
      <c r="D111" t="s">
        <v>74</v>
      </c>
      <c r="E111" t="s">
        <v>74</v>
      </c>
      <c r="F111" t="s">
        <v>2083</v>
      </c>
      <c r="G111" t="s">
        <v>74</v>
      </c>
      <c r="H111" t="s">
        <v>74</v>
      </c>
      <c r="I111" t="s">
        <v>2084</v>
      </c>
      <c r="J111" t="s">
        <v>159</v>
      </c>
      <c r="K111" t="s">
        <v>74</v>
      </c>
      <c r="L111" t="s">
        <v>74</v>
      </c>
      <c r="M111" t="s">
        <v>78</v>
      </c>
      <c r="N111" t="s">
        <v>79</v>
      </c>
      <c r="O111" t="s">
        <v>74</v>
      </c>
      <c r="P111" t="s">
        <v>74</v>
      </c>
      <c r="Q111" t="s">
        <v>74</v>
      </c>
      <c r="R111" t="s">
        <v>74</v>
      </c>
      <c r="S111" t="s">
        <v>74</v>
      </c>
      <c r="T111" t="s">
        <v>2085</v>
      </c>
      <c r="U111" t="s">
        <v>2086</v>
      </c>
      <c r="V111" t="s">
        <v>2087</v>
      </c>
      <c r="W111" t="s">
        <v>2088</v>
      </c>
      <c r="X111" t="s">
        <v>2089</v>
      </c>
      <c r="Y111" t="s">
        <v>2090</v>
      </c>
      <c r="Z111" t="s">
        <v>2091</v>
      </c>
      <c r="AA111" t="s">
        <v>74</v>
      </c>
      <c r="AB111" t="s">
        <v>74</v>
      </c>
      <c r="AC111" t="s">
        <v>2092</v>
      </c>
      <c r="AD111" t="s">
        <v>2092</v>
      </c>
      <c r="AE111" t="s">
        <v>2093</v>
      </c>
      <c r="AF111" t="s">
        <v>74</v>
      </c>
      <c r="AG111">
        <v>66</v>
      </c>
      <c r="AH111">
        <v>16</v>
      </c>
      <c r="AI111">
        <v>17</v>
      </c>
      <c r="AJ111">
        <v>2</v>
      </c>
      <c r="AK111">
        <v>14</v>
      </c>
      <c r="AL111" t="s">
        <v>167</v>
      </c>
      <c r="AM111" t="s">
        <v>168</v>
      </c>
      <c r="AN111" t="s">
        <v>169</v>
      </c>
      <c r="AO111" t="s">
        <v>170</v>
      </c>
      <c r="AP111" t="s">
        <v>74</v>
      </c>
      <c r="AQ111" t="s">
        <v>74</v>
      </c>
      <c r="AR111" t="s">
        <v>172</v>
      </c>
      <c r="AS111" t="s">
        <v>173</v>
      </c>
      <c r="AT111" t="s">
        <v>74</v>
      </c>
      <c r="AU111">
        <v>2008</v>
      </c>
      <c r="AV111">
        <v>52</v>
      </c>
      <c r="AW111">
        <v>2</v>
      </c>
      <c r="AX111" t="s">
        <v>74</v>
      </c>
      <c r="AY111" t="s">
        <v>74</v>
      </c>
      <c r="AZ111" t="s">
        <v>74</v>
      </c>
      <c r="BA111" t="s">
        <v>74</v>
      </c>
      <c r="BB111">
        <v>131</v>
      </c>
      <c r="BC111">
        <v>147</v>
      </c>
      <c r="BD111" t="s">
        <v>74</v>
      </c>
      <c r="BE111" t="s">
        <v>2094</v>
      </c>
      <c r="BF111" t="str">
        <f>HYPERLINK("http://dx.doi.org/10.3354/ame01201","http://dx.doi.org/10.3354/ame01201")</f>
        <v>http://dx.doi.org/10.3354/ame01201</v>
      </c>
      <c r="BG111" t="s">
        <v>74</v>
      </c>
      <c r="BH111" t="s">
        <v>74</v>
      </c>
      <c r="BI111">
        <v>17</v>
      </c>
      <c r="BJ111" t="s">
        <v>176</v>
      </c>
      <c r="BK111" t="s">
        <v>97</v>
      </c>
      <c r="BL111" t="s">
        <v>177</v>
      </c>
      <c r="BM111" t="s">
        <v>2095</v>
      </c>
      <c r="BN111" t="s">
        <v>74</v>
      </c>
      <c r="BO111" t="s">
        <v>179</v>
      </c>
      <c r="BP111" t="s">
        <v>74</v>
      </c>
      <c r="BQ111" t="s">
        <v>74</v>
      </c>
      <c r="BR111" t="s">
        <v>100</v>
      </c>
      <c r="BS111" t="s">
        <v>2096</v>
      </c>
      <c r="BT111" t="str">
        <f>HYPERLINK("https%3A%2F%2Fwww.webofscience.com%2Fwos%2Fwoscc%2Ffull-record%2FWOS:000258630500003","View Full Record in Web of Science")</f>
        <v>View Full Record in Web of Science</v>
      </c>
    </row>
    <row r="112" spans="1:72" x14ac:dyDescent="0.15">
      <c r="A112" t="s">
        <v>72</v>
      </c>
      <c r="B112" t="s">
        <v>2097</v>
      </c>
      <c r="C112" t="s">
        <v>74</v>
      </c>
      <c r="D112" t="s">
        <v>74</v>
      </c>
      <c r="E112" t="s">
        <v>74</v>
      </c>
      <c r="F112" t="s">
        <v>2098</v>
      </c>
      <c r="G112" t="s">
        <v>74</v>
      </c>
      <c r="H112" t="s">
        <v>74</v>
      </c>
      <c r="I112" t="s">
        <v>2099</v>
      </c>
      <c r="J112" t="s">
        <v>159</v>
      </c>
      <c r="K112" t="s">
        <v>74</v>
      </c>
      <c r="L112" t="s">
        <v>74</v>
      </c>
      <c r="M112" t="s">
        <v>78</v>
      </c>
      <c r="N112" t="s">
        <v>79</v>
      </c>
      <c r="O112" t="s">
        <v>74</v>
      </c>
      <c r="P112" t="s">
        <v>74</v>
      </c>
      <c r="Q112" t="s">
        <v>74</v>
      </c>
      <c r="R112" t="s">
        <v>74</v>
      </c>
      <c r="S112" t="s">
        <v>74</v>
      </c>
      <c r="T112" t="s">
        <v>2100</v>
      </c>
      <c r="U112" t="s">
        <v>2101</v>
      </c>
      <c r="V112" t="s">
        <v>2102</v>
      </c>
      <c r="W112" t="s">
        <v>2103</v>
      </c>
      <c r="X112" t="s">
        <v>2104</v>
      </c>
      <c r="Y112" t="s">
        <v>2105</v>
      </c>
      <c r="Z112" t="s">
        <v>2106</v>
      </c>
      <c r="AA112" t="s">
        <v>2107</v>
      </c>
      <c r="AB112" t="s">
        <v>2108</v>
      </c>
      <c r="AC112" t="s">
        <v>2109</v>
      </c>
      <c r="AD112" t="s">
        <v>2110</v>
      </c>
      <c r="AE112" t="s">
        <v>2111</v>
      </c>
      <c r="AF112" t="s">
        <v>74</v>
      </c>
      <c r="AG112">
        <v>76</v>
      </c>
      <c r="AH112">
        <v>47</v>
      </c>
      <c r="AI112">
        <v>51</v>
      </c>
      <c r="AJ112">
        <v>1</v>
      </c>
      <c r="AK112">
        <v>29</v>
      </c>
      <c r="AL112" t="s">
        <v>167</v>
      </c>
      <c r="AM112" t="s">
        <v>168</v>
      </c>
      <c r="AN112" t="s">
        <v>169</v>
      </c>
      <c r="AO112" t="s">
        <v>170</v>
      </c>
      <c r="AP112" t="s">
        <v>171</v>
      </c>
      <c r="AQ112" t="s">
        <v>74</v>
      </c>
      <c r="AR112" t="s">
        <v>172</v>
      </c>
      <c r="AS112" t="s">
        <v>173</v>
      </c>
      <c r="AT112" t="s">
        <v>74</v>
      </c>
      <c r="AU112">
        <v>2008</v>
      </c>
      <c r="AV112">
        <v>52</v>
      </c>
      <c r="AW112">
        <v>2</v>
      </c>
      <c r="AX112" t="s">
        <v>74</v>
      </c>
      <c r="AY112" t="s">
        <v>74</v>
      </c>
      <c r="AZ112" t="s">
        <v>74</v>
      </c>
      <c r="BA112" t="s">
        <v>74</v>
      </c>
      <c r="BB112">
        <v>195</v>
      </c>
      <c r="BC112">
        <v>207</v>
      </c>
      <c r="BD112" t="s">
        <v>74</v>
      </c>
      <c r="BE112" t="s">
        <v>2112</v>
      </c>
      <c r="BF112" t="str">
        <f>HYPERLINK("http://dx.doi.org/10.3354/ame01214","http://dx.doi.org/10.3354/ame01214")</f>
        <v>http://dx.doi.org/10.3354/ame01214</v>
      </c>
      <c r="BG112" t="s">
        <v>74</v>
      </c>
      <c r="BH112" t="s">
        <v>74</v>
      </c>
      <c r="BI112">
        <v>13</v>
      </c>
      <c r="BJ112" t="s">
        <v>176</v>
      </c>
      <c r="BK112" t="s">
        <v>97</v>
      </c>
      <c r="BL112" t="s">
        <v>177</v>
      </c>
      <c r="BM112" t="s">
        <v>2095</v>
      </c>
      <c r="BN112" t="s">
        <v>74</v>
      </c>
      <c r="BO112" t="s">
        <v>179</v>
      </c>
      <c r="BP112" t="s">
        <v>74</v>
      </c>
      <c r="BQ112" t="s">
        <v>74</v>
      </c>
      <c r="BR112" t="s">
        <v>100</v>
      </c>
      <c r="BS112" t="s">
        <v>2113</v>
      </c>
      <c r="BT112" t="str">
        <f>HYPERLINK("https%3A%2F%2Fwww.webofscience.com%2Fwos%2Fwoscc%2Ffull-record%2FWOS:000258630500008","View Full Record in Web of Science")</f>
        <v>View Full Record in Web of Science</v>
      </c>
    </row>
    <row r="113" spans="1:72" x14ac:dyDescent="0.15">
      <c r="A113" t="s">
        <v>1199</v>
      </c>
      <c r="B113" t="s">
        <v>2114</v>
      </c>
      <c r="C113" t="s">
        <v>74</v>
      </c>
      <c r="D113" t="s">
        <v>74</v>
      </c>
      <c r="E113" t="s">
        <v>74</v>
      </c>
      <c r="F113" t="s">
        <v>2115</v>
      </c>
      <c r="G113" t="s">
        <v>74</v>
      </c>
      <c r="H113" t="s">
        <v>74</v>
      </c>
      <c r="I113" t="s">
        <v>2116</v>
      </c>
      <c r="J113" t="s">
        <v>2117</v>
      </c>
      <c r="K113" t="s">
        <v>2118</v>
      </c>
      <c r="L113" t="s">
        <v>74</v>
      </c>
      <c r="M113" t="s">
        <v>78</v>
      </c>
      <c r="N113" t="s">
        <v>1329</v>
      </c>
      <c r="O113" t="s">
        <v>74</v>
      </c>
      <c r="P113" t="s">
        <v>74</v>
      </c>
      <c r="Q113" t="s">
        <v>74</v>
      </c>
      <c r="R113" t="s">
        <v>74</v>
      </c>
      <c r="S113" t="s">
        <v>74</v>
      </c>
      <c r="T113" t="s">
        <v>74</v>
      </c>
      <c r="U113" t="s">
        <v>2119</v>
      </c>
      <c r="V113" t="s">
        <v>74</v>
      </c>
      <c r="W113" t="s">
        <v>74</v>
      </c>
      <c r="X113" t="s">
        <v>74</v>
      </c>
      <c r="Y113" t="s">
        <v>74</v>
      </c>
      <c r="Z113" t="s">
        <v>74</v>
      </c>
      <c r="AA113" t="s">
        <v>74</v>
      </c>
      <c r="AB113" t="s">
        <v>74</v>
      </c>
      <c r="AC113" t="s">
        <v>74</v>
      </c>
      <c r="AD113" t="s">
        <v>74</v>
      </c>
      <c r="AE113" t="s">
        <v>74</v>
      </c>
      <c r="AF113" t="s">
        <v>74</v>
      </c>
      <c r="AG113">
        <v>1621</v>
      </c>
      <c r="AH113">
        <v>136</v>
      </c>
      <c r="AI113">
        <v>148</v>
      </c>
      <c r="AJ113">
        <v>0</v>
      </c>
      <c r="AK113">
        <v>10</v>
      </c>
      <c r="AL113" t="s">
        <v>506</v>
      </c>
      <c r="AM113" t="s">
        <v>266</v>
      </c>
      <c r="AN113" t="s">
        <v>2120</v>
      </c>
      <c r="AO113" t="s">
        <v>2121</v>
      </c>
      <c r="AP113" t="s">
        <v>74</v>
      </c>
      <c r="AQ113" t="s">
        <v>2122</v>
      </c>
      <c r="AR113" t="s">
        <v>2123</v>
      </c>
      <c r="AS113" t="s">
        <v>74</v>
      </c>
      <c r="AT113" t="s">
        <v>74</v>
      </c>
      <c r="AU113">
        <v>2008</v>
      </c>
      <c r="AV113">
        <v>2</v>
      </c>
      <c r="AW113" t="s">
        <v>74</v>
      </c>
      <c r="AX113" t="s">
        <v>74</v>
      </c>
      <c r="AY113" t="s">
        <v>74</v>
      </c>
      <c r="AZ113" t="s">
        <v>74</v>
      </c>
      <c r="BA113" t="s">
        <v>74</v>
      </c>
      <c r="BB113">
        <v>1</v>
      </c>
      <c r="BC113">
        <v>592</v>
      </c>
      <c r="BD113" t="s">
        <v>74</v>
      </c>
      <c r="BE113" t="s">
        <v>74</v>
      </c>
      <c r="BF113" t="s">
        <v>74</v>
      </c>
      <c r="BG113" t="s">
        <v>74</v>
      </c>
      <c r="BH113" t="s">
        <v>74</v>
      </c>
      <c r="BI113">
        <v>592</v>
      </c>
      <c r="BJ113" t="s">
        <v>2124</v>
      </c>
      <c r="BK113" t="s">
        <v>1537</v>
      </c>
      <c r="BL113" t="s">
        <v>2124</v>
      </c>
      <c r="BM113" t="s">
        <v>2125</v>
      </c>
      <c r="BN113" t="s">
        <v>74</v>
      </c>
      <c r="BO113" t="s">
        <v>74</v>
      </c>
      <c r="BP113" t="s">
        <v>74</v>
      </c>
      <c r="BQ113" t="s">
        <v>74</v>
      </c>
      <c r="BR113" t="s">
        <v>100</v>
      </c>
      <c r="BS113" t="s">
        <v>2126</v>
      </c>
      <c r="BT113" t="str">
        <f>HYPERLINK("https%3A%2F%2Fwww.webofscience.com%2Fwos%2Fwoscc%2Ffull-record%2FWOS:000310793500010","View Full Record in Web of Science")</f>
        <v>View Full Record in Web of Science</v>
      </c>
    </row>
    <row r="114" spans="1:72" x14ac:dyDescent="0.15">
      <c r="A114" t="s">
        <v>72</v>
      </c>
      <c r="B114" t="s">
        <v>2127</v>
      </c>
      <c r="C114" t="s">
        <v>74</v>
      </c>
      <c r="D114" t="s">
        <v>74</v>
      </c>
      <c r="E114" t="s">
        <v>74</v>
      </c>
      <c r="F114" t="s">
        <v>2128</v>
      </c>
      <c r="G114" t="s">
        <v>74</v>
      </c>
      <c r="H114" t="s">
        <v>74</v>
      </c>
      <c r="I114" t="s">
        <v>2129</v>
      </c>
      <c r="J114" t="s">
        <v>2130</v>
      </c>
      <c r="K114" t="s">
        <v>74</v>
      </c>
      <c r="L114" t="s">
        <v>74</v>
      </c>
      <c r="M114" t="s">
        <v>78</v>
      </c>
      <c r="N114" t="s">
        <v>79</v>
      </c>
      <c r="O114" t="s">
        <v>74</v>
      </c>
      <c r="P114" t="s">
        <v>74</v>
      </c>
      <c r="Q114" t="s">
        <v>74</v>
      </c>
      <c r="R114" t="s">
        <v>74</v>
      </c>
      <c r="S114" t="s">
        <v>74</v>
      </c>
      <c r="T114" t="s">
        <v>2131</v>
      </c>
      <c r="U114" t="s">
        <v>2132</v>
      </c>
      <c r="V114" t="s">
        <v>2133</v>
      </c>
      <c r="W114" t="s">
        <v>2134</v>
      </c>
      <c r="X114" t="s">
        <v>2135</v>
      </c>
      <c r="Y114" t="s">
        <v>2136</v>
      </c>
      <c r="Z114" t="s">
        <v>2137</v>
      </c>
      <c r="AA114" t="s">
        <v>74</v>
      </c>
      <c r="AB114" t="s">
        <v>74</v>
      </c>
      <c r="AC114" t="s">
        <v>74</v>
      </c>
      <c r="AD114" t="s">
        <v>74</v>
      </c>
      <c r="AE114" t="s">
        <v>74</v>
      </c>
      <c r="AF114" t="s">
        <v>74</v>
      </c>
      <c r="AG114">
        <v>22</v>
      </c>
      <c r="AH114">
        <v>13</v>
      </c>
      <c r="AI114">
        <v>14</v>
      </c>
      <c r="AJ114">
        <v>0</v>
      </c>
      <c r="AK114">
        <v>8</v>
      </c>
      <c r="AL114" t="s">
        <v>2138</v>
      </c>
      <c r="AM114" t="s">
        <v>2139</v>
      </c>
      <c r="AN114" t="s">
        <v>2140</v>
      </c>
      <c r="AO114" t="s">
        <v>2141</v>
      </c>
      <c r="AP114" t="s">
        <v>74</v>
      </c>
      <c r="AQ114" t="s">
        <v>74</v>
      </c>
      <c r="AR114" t="s">
        <v>2130</v>
      </c>
      <c r="AS114" t="s">
        <v>2142</v>
      </c>
      <c r="AT114" t="s">
        <v>2143</v>
      </c>
      <c r="AU114">
        <v>2008</v>
      </c>
      <c r="AV114">
        <v>21</v>
      </c>
      <c r="AW114">
        <v>1</v>
      </c>
      <c r="AX114" t="s">
        <v>74</v>
      </c>
      <c r="AY114" t="s">
        <v>74</v>
      </c>
      <c r="AZ114" t="s">
        <v>74</v>
      </c>
      <c r="BA114" t="s">
        <v>74</v>
      </c>
      <c r="BB114">
        <v>1</v>
      </c>
      <c r="BC114">
        <v>12</v>
      </c>
      <c r="BD114" t="s">
        <v>74</v>
      </c>
      <c r="BE114" t="s">
        <v>74</v>
      </c>
      <c r="BF114" t="s">
        <v>74</v>
      </c>
      <c r="BG114" t="s">
        <v>74</v>
      </c>
      <c r="BH114" t="s">
        <v>74</v>
      </c>
      <c r="BI114">
        <v>12</v>
      </c>
      <c r="BJ114" t="s">
        <v>204</v>
      </c>
      <c r="BK114" t="s">
        <v>97</v>
      </c>
      <c r="BL114" t="s">
        <v>204</v>
      </c>
      <c r="BM114" t="s">
        <v>2144</v>
      </c>
      <c r="BN114" t="s">
        <v>74</v>
      </c>
      <c r="BO114" t="s">
        <v>74</v>
      </c>
      <c r="BP114" t="s">
        <v>74</v>
      </c>
      <c r="BQ114" t="s">
        <v>74</v>
      </c>
      <c r="BR114" t="s">
        <v>100</v>
      </c>
      <c r="BS114" t="s">
        <v>2145</v>
      </c>
      <c r="BT114" t="str">
        <f>HYPERLINK("https%3A%2F%2Fwww.webofscience.com%2Fwos%2Fwoscc%2Ffull-record%2FWOS:000252834300001","View Full Record in Web of Science")</f>
        <v>View Full Record in Web of Science</v>
      </c>
    </row>
    <row r="115" spans="1:72" x14ac:dyDescent="0.15">
      <c r="A115" t="s">
        <v>72</v>
      </c>
      <c r="B115" t="s">
        <v>2146</v>
      </c>
      <c r="C115" t="s">
        <v>74</v>
      </c>
      <c r="D115" t="s">
        <v>74</v>
      </c>
      <c r="E115" t="s">
        <v>74</v>
      </c>
      <c r="F115" t="s">
        <v>2147</v>
      </c>
      <c r="G115" t="s">
        <v>74</v>
      </c>
      <c r="H115" t="s">
        <v>74</v>
      </c>
      <c r="I115" t="s">
        <v>2148</v>
      </c>
      <c r="J115" t="s">
        <v>2149</v>
      </c>
      <c r="K115" t="s">
        <v>74</v>
      </c>
      <c r="L115" t="s">
        <v>74</v>
      </c>
      <c r="M115" t="s">
        <v>78</v>
      </c>
      <c r="N115" t="s">
        <v>79</v>
      </c>
      <c r="O115" t="s">
        <v>74</v>
      </c>
      <c r="P115" t="s">
        <v>74</v>
      </c>
      <c r="Q115" t="s">
        <v>74</v>
      </c>
      <c r="R115" t="s">
        <v>74</v>
      </c>
      <c r="S115" t="s">
        <v>74</v>
      </c>
      <c r="T115" t="s">
        <v>2150</v>
      </c>
      <c r="U115" t="s">
        <v>2151</v>
      </c>
      <c r="V115" t="s">
        <v>2152</v>
      </c>
      <c r="W115" t="s">
        <v>2153</v>
      </c>
      <c r="X115" t="s">
        <v>2154</v>
      </c>
      <c r="Y115" t="s">
        <v>2155</v>
      </c>
      <c r="Z115" t="s">
        <v>2156</v>
      </c>
      <c r="AA115" t="s">
        <v>74</v>
      </c>
      <c r="AB115" t="s">
        <v>74</v>
      </c>
      <c r="AC115" t="s">
        <v>2157</v>
      </c>
      <c r="AD115" t="s">
        <v>2158</v>
      </c>
      <c r="AE115" t="s">
        <v>2159</v>
      </c>
      <c r="AF115" t="s">
        <v>74</v>
      </c>
      <c r="AG115">
        <v>34</v>
      </c>
      <c r="AH115">
        <v>36</v>
      </c>
      <c r="AI115">
        <v>38</v>
      </c>
      <c r="AJ115">
        <v>0</v>
      </c>
      <c r="AK115">
        <v>0</v>
      </c>
      <c r="AL115" t="s">
        <v>1331</v>
      </c>
      <c r="AM115" t="s">
        <v>1421</v>
      </c>
      <c r="AN115" t="s">
        <v>2160</v>
      </c>
      <c r="AO115" t="s">
        <v>2161</v>
      </c>
      <c r="AP115" t="s">
        <v>2162</v>
      </c>
      <c r="AQ115" t="s">
        <v>74</v>
      </c>
      <c r="AR115" t="s">
        <v>2163</v>
      </c>
      <c r="AS115" t="s">
        <v>2164</v>
      </c>
      <c r="AT115" t="s">
        <v>74</v>
      </c>
      <c r="AU115">
        <v>2008</v>
      </c>
      <c r="AV115">
        <v>1</v>
      </c>
      <c r="AW115">
        <v>1</v>
      </c>
      <c r="AX115" t="s">
        <v>74</v>
      </c>
      <c r="AY115" t="s">
        <v>74</v>
      </c>
      <c r="AZ115" t="s">
        <v>74</v>
      </c>
      <c r="BA115" t="s">
        <v>74</v>
      </c>
      <c r="BB115">
        <v>51</v>
      </c>
      <c r="BC115">
        <v>56</v>
      </c>
      <c r="BD115" t="s">
        <v>74</v>
      </c>
      <c r="BE115" t="s">
        <v>2165</v>
      </c>
      <c r="BF115" t="str">
        <f>HYPERLINK("http://dx.doi.org/10.1080/16742834.2008.11446766","http://dx.doi.org/10.1080/16742834.2008.11446766")</f>
        <v>http://dx.doi.org/10.1080/16742834.2008.11446766</v>
      </c>
      <c r="BG115" t="s">
        <v>74</v>
      </c>
      <c r="BH115" t="s">
        <v>74</v>
      </c>
      <c r="BI115">
        <v>6</v>
      </c>
      <c r="BJ115" t="s">
        <v>204</v>
      </c>
      <c r="BK115" t="s">
        <v>2166</v>
      </c>
      <c r="BL115" t="s">
        <v>204</v>
      </c>
      <c r="BM115" t="s">
        <v>2167</v>
      </c>
      <c r="BN115" t="s">
        <v>74</v>
      </c>
      <c r="BO115" t="s">
        <v>179</v>
      </c>
      <c r="BP115" t="s">
        <v>74</v>
      </c>
      <c r="BQ115" t="s">
        <v>74</v>
      </c>
      <c r="BR115" t="s">
        <v>100</v>
      </c>
      <c r="BS115" t="s">
        <v>2168</v>
      </c>
      <c r="BT115" t="str">
        <f>HYPERLINK("https%3A%2F%2Fwww.webofscience.com%2Fwos%2Fwoscc%2Ffull-record%2FWOS:000433678000011","View Full Record in Web of Science")</f>
        <v>View Full Record in Web of Science</v>
      </c>
    </row>
    <row r="116" spans="1:72" x14ac:dyDescent="0.15">
      <c r="A116" t="s">
        <v>72</v>
      </c>
      <c r="B116" t="s">
        <v>2169</v>
      </c>
      <c r="C116" t="s">
        <v>74</v>
      </c>
      <c r="D116" t="s">
        <v>74</v>
      </c>
      <c r="E116" t="s">
        <v>74</v>
      </c>
      <c r="F116" t="s">
        <v>2170</v>
      </c>
      <c r="G116" t="s">
        <v>74</v>
      </c>
      <c r="H116" t="s">
        <v>74</v>
      </c>
      <c r="I116" t="s">
        <v>2171</v>
      </c>
      <c r="J116" t="s">
        <v>2172</v>
      </c>
      <c r="K116" t="s">
        <v>74</v>
      </c>
      <c r="L116" t="s">
        <v>74</v>
      </c>
      <c r="M116" t="s">
        <v>78</v>
      </c>
      <c r="N116" t="s">
        <v>79</v>
      </c>
      <c r="O116" t="s">
        <v>74</v>
      </c>
      <c r="P116" t="s">
        <v>74</v>
      </c>
      <c r="Q116" t="s">
        <v>74</v>
      </c>
      <c r="R116" t="s">
        <v>74</v>
      </c>
      <c r="S116" t="s">
        <v>74</v>
      </c>
      <c r="T116" t="s">
        <v>74</v>
      </c>
      <c r="U116" t="s">
        <v>2173</v>
      </c>
      <c r="V116" t="s">
        <v>2174</v>
      </c>
      <c r="W116" t="s">
        <v>2175</v>
      </c>
      <c r="X116" t="s">
        <v>2176</v>
      </c>
      <c r="Y116" t="s">
        <v>2177</v>
      </c>
      <c r="Z116" t="s">
        <v>2178</v>
      </c>
      <c r="AA116" t="s">
        <v>2179</v>
      </c>
      <c r="AB116" t="s">
        <v>2180</v>
      </c>
      <c r="AC116" t="s">
        <v>74</v>
      </c>
      <c r="AD116" t="s">
        <v>74</v>
      </c>
      <c r="AE116" t="s">
        <v>74</v>
      </c>
      <c r="AF116" t="s">
        <v>74</v>
      </c>
      <c r="AG116">
        <v>92</v>
      </c>
      <c r="AH116">
        <v>46</v>
      </c>
      <c r="AI116">
        <v>53</v>
      </c>
      <c r="AJ116">
        <v>0</v>
      </c>
      <c r="AK116">
        <v>10</v>
      </c>
      <c r="AL116" t="s">
        <v>1552</v>
      </c>
      <c r="AM116" t="s">
        <v>1553</v>
      </c>
      <c r="AN116" t="s">
        <v>1554</v>
      </c>
      <c r="AO116" t="s">
        <v>2181</v>
      </c>
      <c r="AP116" t="s">
        <v>2182</v>
      </c>
      <c r="AQ116" t="s">
        <v>74</v>
      </c>
      <c r="AR116" t="s">
        <v>2183</v>
      </c>
      <c r="AS116" t="s">
        <v>2184</v>
      </c>
      <c r="AT116" t="s">
        <v>74</v>
      </c>
      <c r="AU116">
        <v>2008</v>
      </c>
      <c r="AV116">
        <v>8</v>
      </c>
      <c r="AW116">
        <v>1</v>
      </c>
      <c r="AX116" t="s">
        <v>74</v>
      </c>
      <c r="AY116" t="s">
        <v>74</v>
      </c>
      <c r="AZ116" t="s">
        <v>74</v>
      </c>
      <c r="BA116" t="s">
        <v>74</v>
      </c>
      <c r="BB116">
        <v>35</v>
      </c>
      <c r="BC116">
        <v>62</v>
      </c>
      <c r="BD116" t="s">
        <v>74</v>
      </c>
      <c r="BE116" t="s">
        <v>2185</v>
      </c>
      <c r="BF116" t="str">
        <f>HYPERLINK("http://dx.doi.org/10.5194/acp-8-35-2008","http://dx.doi.org/10.5194/acp-8-35-2008")</f>
        <v>http://dx.doi.org/10.5194/acp-8-35-2008</v>
      </c>
      <c r="BG116" t="s">
        <v>74</v>
      </c>
      <c r="BH116" t="s">
        <v>74</v>
      </c>
      <c r="BI116">
        <v>28</v>
      </c>
      <c r="BJ116" t="s">
        <v>2186</v>
      </c>
      <c r="BK116" t="s">
        <v>97</v>
      </c>
      <c r="BL116" t="s">
        <v>2187</v>
      </c>
      <c r="BM116" t="s">
        <v>2188</v>
      </c>
      <c r="BN116" t="s">
        <v>74</v>
      </c>
      <c r="BO116" t="s">
        <v>1581</v>
      </c>
      <c r="BP116" t="s">
        <v>74</v>
      </c>
      <c r="BQ116" t="s">
        <v>74</v>
      </c>
      <c r="BR116" t="s">
        <v>100</v>
      </c>
      <c r="BS116" t="s">
        <v>2189</v>
      </c>
      <c r="BT116" t="str">
        <f>HYPERLINK("https%3A%2F%2Fwww.webofscience.com%2Fwos%2Fwoscc%2Ffull-record%2FWOS:000253908000004","View Full Record in Web of Science")</f>
        <v>View Full Record in Web of Science</v>
      </c>
    </row>
    <row r="117" spans="1:72" x14ac:dyDescent="0.15">
      <c r="A117" t="s">
        <v>72</v>
      </c>
      <c r="B117" t="s">
        <v>2190</v>
      </c>
      <c r="C117" t="s">
        <v>74</v>
      </c>
      <c r="D117" t="s">
        <v>74</v>
      </c>
      <c r="E117" t="s">
        <v>74</v>
      </c>
      <c r="F117" t="s">
        <v>2191</v>
      </c>
      <c r="G117" t="s">
        <v>74</v>
      </c>
      <c r="H117" t="s">
        <v>74</v>
      </c>
      <c r="I117" t="s">
        <v>2192</v>
      </c>
      <c r="J117" t="s">
        <v>2172</v>
      </c>
      <c r="K117" t="s">
        <v>74</v>
      </c>
      <c r="L117" t="s">
        <v>74</v>
      </c>
      <c r="M117" t="s">
        <v>78</v>
      </c>
      <c r="N117" t="s">
        <v>79</v>
      </c>
      <c r="O117" t="s">
        <v>74</v>
      </c>
      <c r="P117" t="s">
        <v>74</v>
      </c>
      <c r="Q117" t="s">
        <v>74</v>
      </c>
      <c r="R117" t="s">
        <v>74</v>
      </c>
      <c r="S117" t="s">
        <v>74</v>
      </c>
      <c r="T117" t="s">
        <v>74</v>
      </c>
      <c r="U117" t="s">
        <v>2193</v>
      </c>
      <c r="V117" t="s">
        <v>2194</v>
      </c>
      <c r="W117" t="s">
        <v>2195</v>
      </c>
      <c r="X117" t="s">
        <v>2196</v>
      </c>
      <c r="Y117" t="s">
        <v>2197</v>
      </c>
      <c r="Z117" t="s">
        <v>2198</v>
      </c>
      <c r="AA117" t="s">
        <v>2199</v>
      </c>
      <c r="AB117" t="s">
        <v>2200</v>
      </c>
      <c r="AC117" t="s">
        <v>241</v>
      </c>
      <c r="AD117" t="s">
        <v>242</v>
      </c>
      <c r="AE117" t="s">
        <v>74</v>
      </c>
      <c r="AF117" t="s">
        <v>74</v>
      </c>
      <c r="AG117">
        <v>59</v>
      </c>
      <c r="AH117">
        <v>9</v>
      </c>
      <c r="AI117">
        <v>9</v>
      </c>
      <c r="AJ117">
        <v>0</v>
      </c>
      <c r="AK117">
        <v>7</v>
      </c>
      <c r="AL117" t="s">
        <v>1552</v>
      </c>
      <c r="AM117" t="s">
        <v>1553</v>
      </c>
      <c r="AN117" t="s">
        <v>1554</v>
      </c>
      <c r="AO117" t="s">
        <v>2181</v>
      </c>
      <c r="AP117" t="s">
        <v>2182</v>
      </c>
      <c r="AQ117" t="s">
        <v>74</v>
      </c>
      <c r="AR117" t="s">
        <v>2183</v>
      </c>
      <c r="AS117" t="s">
        <v>2184</v>
      </c>
      <c r="AT117" t="s">
        <v>74</v>
      </c>
      <c r="AU117">
        <v>2008</v>
      </c>
      <c r="AV117">
        <v>8</v>
      </c>
      <c r="AW117">
        <v>2</v>
      </c>
      <c r="AX117" t="s">
        <v>74</v>
      </c>
      <c r="AY117" t="s">
        <v>74</v>
      </c>
      <c r="AZ117" t="s">
        <v>74</v>
      </c>
      <c r="BA117" t="s">
        <v>74</v>
      </c>
      <c r="BB117">
        <v>287</v>
      </c>
      <c r="BC117">
        <v>308</v>
      </c>
      <c r="BD117" t="s">
        <v>74</v>
      </c>
      <c r="BE117" t="s">
        <v>2201</v>
      </c>
      <c r="BF117" t="str">
        <f>HYPERLINK("http://dx.doi.org/10.5194/acp-8-287-2008","http://dx.doi.org/10.5194/acp-8-287-2008")</f>
        <v>http://dx.doi.org/10.5194/acp-8-287-2008</v>
      </c>
      <c r="BG117" t="s">
        <v>74</v>
      </c>
      <c r="BH117" t="s">
        <v>74</v>
      </c>
      <c r="BI117">
        <v>22</v>
      </c>
      <c r="BJ117" t="s">
        <v>2186</v>
      </c>
      <c r="BK117" t="s">
        <v>97</v>
      </c>
      <c r="BL117" t="s">
        <v>2187</v>
      </c>
      <c r="BM117" t="s">
        <v>2202</v>
      </c>
      <c r="BN117" t="s">
        <v>74</v>
      </c>
      <c r="BO117" t="s">
        <v>1581</v>
      </c>
      <c r="BP117" t="s">
        <v>74</v>
      </c>
      <c r="BQ117" t="s">
        <v>74</v>
      </c>
      <c r="BR117" t="s">
        <v>100</v>
      </c>
      <c r="BS117" t="s">
        <v>2203</v>
      </c>
      <c r="BT117" t="str">
        <f>HYPERLINK("https%3A%2F%2Fwww.webofscience.com%2Fwos%2Fwoscc%2Ffull-record%2FWOS:000253908100009","View Full Record in Web of Science")</f>
        <v>View Full Record in Web of Science</v>
      </c>
    </row>
    <row r="118" spans="1:72" x14ac:dyDescent="0.15">
      <c r="A118" t="s">
        <v>72</v>
      </c>
      <c r="B118" t="s">
        <v>2204</v>
      </c>
      <c r="C118" t="s">
        <v>74</v>
      </c>
      <c r="D118" t="s">
        <v>74</v>
      </c>
      <c r="E118" t="s">
        <v>74</v>
      </c>
      <c r="F118" t="s">
        <v>2205</v>
      </c>
      <c r="G118" t="s">
        <v>74</v>
      </c>
      <c r="H118" t="s">
        <v>74</v>
      </c>
      <c r="I118" t="s">
        <v>2206</v>
      </c>
      <c r="J118" t="s">
        <v>2172</v>
      </c>
      <c r="K118" t="s">
        <v>74</v>
      </c>
      <c r="L118" t="s">
        <v>74</v>
      </c>
      <c r="M118" t="s">
        <v>78</v>
      </c>
      <c r="N118" t="s">
        <v>79</v>
      </c>
      <c r="O118" t="s">
        <v>74</v>
      </c>
      <c r="P118" t="s">
        <v>74</v>
      </c>
      <c r="Q118" t="s">
        <v>74</v>
      </c>
      <c r="R118" t="s">
        <v>74</v>
      </c>
      <c r="S118" t="s">
        <v>74</v>
      </c>
      <c r="T118" t="s">
        <v>74</v>
      </c>
      <c r="U118" t="s">
        <v>2207</v>
      </c>
      <c r="V118" t="s">
        <v>2208</v>
      </c>
      <c r="W118" t="s">
        <v>2209</v>
      </c>
      <c r="X118" t="s">
        <v>2210</v>
      </c>
      <c r="Y118" t="s">
        <v>2211</v>
      </c>
      <c r="Z118" t="s">
        <v>2212</v>
      </c>
      <c r="AA118" t="s">
        <v>2213</v>
      </c>
      <c r="AB118" t="s">
        <v>2214</v>
      </c>
      <c r="AC118" t="s">
        <v>2215</v>
      </c>
      <c r="AD118" t="s">
        <v>444</v>
      </c>
      <c r="AE118" t="s">
        <v>74</v>
      </c>
      <c r="AF118" t="s">
        <v>74</v>
      </c>
      <c r="AG118">
        <v>72</v>
      </c>
      <c r="AH118">
        <v>93</v>
      </c>
      <c r="AI118">
        <v>105</v>
      </c>
      <c r="AJ118">
        <v>1</v>
      </c>
      <c r="AK118">
        <v>25</v>
      </c>
      <c r="AL118" t="s">
        <v>1552</v>
      </c>
      <c r="AM118" t="s">
        <v>1553</v>
      </c>
      <c r="AN118" t="s">
        <v>1554</v>
      </c>
      <c r="AO118" t="s">
        <v>2181</v>
      </c>
      <c r="AP118" t="s">
        <v>2182</v>
      </c>
      <c r="AQ118" t="s">
        <v>74</v>
      </c>
      <c r="AR118" t="s">
        <v>2183</v>
      </c>
      <c r="AS118" t="s">
        <v>2184</v>
      </c>
      <c r="AT118" t="s">
        <v>74</v>
      </c>
      <c r="AU118">
        <v>2008</v>
      </c>
      <c r="AV118">
        <v>8</v>
      </c>
      <c r="AW118">
        <v>3</v>
      </c>
      <c r="AX118" t="s">
        <v>74</v>
      </c>
      <c r="AY118" t="s">
        <v>74</v>
      </c>
      <c r="AZ118" t="s">
        <v>74</v>
      </c>
      <c r="BA118" t="s">
        <v>74</v>
      </c>
      <c r="BB118">
        <v>637</v>
      </c>
      <c r="BC118">
        <v>653</v>
      </c>
      <c r="BD118" t="s">
        <v>74</v>
      </c>
      <c r="BE118" t="s">
        <v>2216</v>
      </c>
      <c r="BF118" t="str">
        <f>HYPERLINK("http://dx.doi.org/10.5194/acp-8-637-2008","http://dx.doi.org/10.5194/acp-8-637-2008")</f>
        <v>http://dx.doi.org/10.5194/acp-8-637-2008</v>
      </c>
      <c r="BG118" t="s">
        <v>74</v>
      </c>
      <c r="BH118" t="s">
        <v>74</v>
      </c>
      <c r="BI118">
        <v>17</v>
      </c>
      <c r="BJ118" t="s">
        <v>2186</v>
      </c>
      <c r="BK118" t="s">
        <v>97</v>
      </c>
      <c r="BL118" t="s">
        <v>2187</v>
      </c>
      <c r="BM118" t="s">
        <v>2217</v>
      </c>
      <c r="BN118" t="s">
        <v>74</v>
      </c>
      <c r="BO118" t="s">
        <v>1618</v>
      </c>
      <c r="BP118" t="s">
        <v>74</v>
      </c>
      <c r="BQ118" t="s">
        <v>74</v>
      </c>
      <c r="BR118" t="s">
        <v>100</v>
      </c>
      <c r="BS118" t="s">
        <v>2218</v>
      </c>
      <c r="BT118" t="str">
        <f>HYPERLINK("https%3A%2F%2Fwww.webofscience.com%2Fwos%2Fwoscc%2Ffull-record%2FWOS:000253908300015","View Full Record in Web of Science")</f>
        <v>View Full Record in Web of Science</v>
      </c>
    </row>
    <row r="119" spans="1:72" x14ac:dyDescent="0.15">
      <c r="A119" t="s">
        <v>72</v>
      </c>
      <c r="B119" t="s">
        <v>2219</v>
      </c>
      <c r="C119" t="s">
        <v>74</v>
      </c>
      <c r="D119" t="s">
        <v>74</v>
      </c>
      <c r="E119" t="s">
        <v>74</v>
      </c>
      <c r="F119" t="s">
        <v>2220</v>
      </c>
      <c r="G119" t="s">
        <v>74</v>
      </c>
      <c r="H119" t="s">
        <v>74</v>
      </c>
      <c r="I119" t="s">
        <v>2221</v>
      </c>
      <c r="J119" t="s">
        <v>2172</v>
      </c>
      <c r="K119" t="s">
        <v>74</v>
      </c>
      <c r="L119" t="s">
        <v>74</v>
      </c>
      <c r="M119" t="s">
        <v>78</v>
      </c>
      <c r="N119" t="s">
        <v>79</v>
      </c>
      <c r="O119" t="s">
        <v>74</v>
      </c>
      <c r="P119" t="s">
        <v>74</v>
      </c>
      <c r="Q119" t="s">
        <v>74</v>
      </c>
      <c r="R119" t="s">
        <v>74</v>
      </c>
      <c r="S119" t="s">
        <v>74</v>
      </c>
      <c r="T119" t="s">
        <v>74</v>
      </c>
      <c r="U119" t="s">
        <v>2222</v>
      </c>
      <c r="V119" t="s">
        <v>2223</v>
      </c>
      <c r="W119" t="s">
        <v>2224</v>
      </c>
      <c r="X119" t="s">
        <v>2225</v>
      </c>
      <c r="Y119" t="s">
        <v>2226</v>
      </c>
      <c r="Z119" t="s">
        <v>2227</v>
      </c>
      <c r="AA119" t="s">
        <v>2228</v>
      </c>
      <c r="AB119" t="s">
        <v>2229</v>
      </c>
      <c r="AC119" t="s">
        <v>2230</v>
      </c>
      <c r="AD119" t="s">
        <v>444</v>
      </c>
      <c r="AE119" t="s">
        <v>74</v>
      </c>
      <c r="AF119" t="s">
        <v>74</v>
      </c>
      <c r="AG119">
        <v>81</v>
      </c>
      <c r="AH119">
        <v>109</v>
      </c>
      <c r="AI119">
        <v>121</v>
      </c>
      <c r="AJ119">
        <v>1</v>
      </c>
      <c r="AK119">
        <v>54</v>
      </c>
      <c r="AL119" t="s">
        <v>1552</v>
      </c>
      <c r="AM119" t="s">
        <v>1553</v>
      </c>
      <c r="AN119" t="s">
        <v>1554</v>
      </c>
      <c r="AO119" t="s">
        <v>2181</v>
      </c>
      <c r="AP119" t="s">
        <v>2182</v>
      </c>
      <c r="AQ119" t="s">
        <v>74</v>
      </c>
      <c r="AR119" t="s">
        <v>2183</v>
      </c>
      <c r="AS119" t="s">
        <v>2184</v>
      </c>
      <c r="AT119" t="s">
        <v>74</v>
      </c>
      <c r="AU119">
        <v>2008</v>
      </c>
      <c r="AV119">
        <v>8</v>
      </c>
      <c r="AW119">
        <v>4</v>
      </c>
      <c r="AX119" t="s">
        <v>74</v>
      </c>
      <c r="AY119" t="s">
        <v>74</v>
      </c>
      <c r="AZ119" t="s">
        <v>74</v>
      </c>
      <c r="BA119" t="s">
        <v>74</v>
      </c>
      <c r="BB119">
        <v>887</v>
      </c>
      <c r="BC119">
        <v>900</v>
      </c>
      <c r="BD119" t="s">
        <v>74</v>
      </c>
      <c r="BE119" t="s">
        <v>2231</v>
      </c>
      <c r="BF119" t="str">
        <f>HYPERLINK("http://dx.doi.org/10.5194/acp-8-887-2008","http://dx.doi.org/10.5194/acp-8-887-2008")</f>
        <v>http://dx.doi.org/10.5194/acp-8-887-2008</v>
      </c>
      <c r="BG119" t="s">
        <v>74</v>
      </c>
      <c r="BH119" t="s">
        <v>74</v>
      </c>
      <c r="BI119">
        <v>14</v>
      </c>
      <c r="BJ119" t="s">
        <v>2186</v>
      </c>
      <c r="BK119" t="s">
        <v>97</v>
      </c>
      <c r="BL119" t="s">
        <v>2187</v>
      </c>
      <c r="BM119" t="s">
        <v>2232</v>
      </c>
      <c r="BN119" t="s">
        <v>74</v>
      </c>
      <c r="BO119" t="s">
        <v>2233</v>
      </c>
      <c r="BP119" t="s">
        <v>74</v>
      </c>
      <c r="BQ119" t="s">
        <v>74</v>
      </c>
      <c r="BR119" t="s">
        <v>100</v>
      </c>
      <c r="BS119" t="s">
        <v>2234</v>
      </c>
      <c r="BT119" t="str">
        <f>HYPERLINK("https%3A%2F%2Fwww.webofscience.com%2Fwos%2Fwoscc%2Ffull-record%2FWOS:000253908500007","View Full Record in Web of Science")</f>
        <v>View Full Record in Web of Science</v>
      </c>
    </row>
    <row r="120" spans="1:72" x14ac:dyDescent="0.15">
      <c r="A120" t="s">
        <v>72</v>
      </c>
      <c r="B120" t="s">
        <v>2235</v>
      </c>
      <c r="C120" t="s">
        <v>74</v>
      </c>
      <c r="D120" t="s">
        <v>74</v>
      </c>
      <c r="E120" t="s">
        <v>74</v>
      </c>
      <c r="F120" t="s">
        <v>2236</v>
      </c>
      <c r="G120" t="s">
        <v>74</v>
      </c>
      <c r="H120" t="s">
        <v>74</v>
      </c>
      <c r="I120" t="s">
        <v>2237</v>
      </c>
      <c r="J120" t="s">
        <v>2172</v>
      </c>
      <c r="K120" t="s">
        <v>74</v>
      </c>
      <c r="L120" t="s">
        <v>74</v>
      </c>
      <c r="M120" t="s">
        <v>78</v>
      </c>
      <c r="N120" t="s">
        <v>79</v>
      </c>
      <c r="O120" t="s">
        <v>74</v>
      </c>
      <c r="P120" t="s">
        <v>74</v>
      </c>
      <c r="Q120" t="s">
        <v>74</v>
      </c>
      <c r="R120" t="s">
        <v>74</v>
      </c>
      <c r="S120" t="s">
        <v>74</v>
      </c>
      <c r="T120" t="s">
        <v>74</v>
      </c>
      <c r="U120" t="s">
        <v>2238</v>
      </c>
      <c r="V120" t="s">
        <v>2239</v>
      </c>
      <c r="W120" t="s">
        <v>2240</v>
      </c>
      <c r="X120" t="s">
        <v>440</v>
      </c>
      <c r="Y120" t="s">
        <v>2241</v>
      </c>
      <c r="Z120" t="s">
        <v>2242</v>
      </c>
      <c r="AA120" t="s">
        <v>74</v>
      </c>
      <c r="AB120" t="s">
        <v>2243</v>
      </c>
      <c r="AC120" t="s">
        <v>1636</v>
      </c>
      <c r="AD120" t="s">
        <v>444</v>
      </c>
      <c r="AE120" t="s">
        <v>74</v>
      </c>
      <c r="AF120" t="s">
        <v>74</v>
      </c>
      <c r="AG120">
        <v>29</v>
      </c>
      <c r="AH120">
        <v>13</v>
      </c>
      <c r="AI120">
        <v>13</v>
      </c>
      <c r="AJ120">
        <v>0</v>
      </c>
      <c r="AK120">
        <v>2</v>
      </c>
      <c r="AL120" t="s">
        <v>1552</v>
      </c>
      <c r="AM120" t="s">
        <v>1553</v>
      </c>
      <c r="AN120" t="s">
        <v>1554</v>
      </c>
      <c r="AO120" t="s">
        <v>2181</v>
      </c>
      <c r="AP120" t="s">
        <v>2182</v>
      </c>
      <c r="AQ120" t="s">
        <v>74</v>
      </c>
      <c r="AR120" t="s">
        <v>2183</v>
      </c>
      <c r="AS120" t="s">
        <v>2184</v>
      </c>
      <c r="AT120" t="s">
        <v>74</v>
      </c>
      <c r="AU120">
        <v>2008</v>
      </c>
      <c r="AV120">
        <v>8</v>
      </c>
      <c r="AW120">
        <v>5</v>
      </c>
      <c r="AX120" t="s">
        <v>74</v>
      </c>
      <c r="AY120" t="s">
        <v>74</v>
      </c>
      <c r="AZ120" t="s">
        <v>74</v>
      </c>
      <c r="BA120" t="s">
        <v>74</v>
      </c>
      <c r="BB120">
        <v>1367</v>
      </c>
      <c r="BC120">
        <v>1376</v>
      </c>
      <c r="BD120" t="s">
        <v>74</v>
      </c>
      <c r="BE120" t="s">
        <v>2244</v>
      </c>
      <c r="BF120" t="str">
        <f>HYPERLINK("http://dx.doi.org/10.5194/acp-8-1367-2008","http://dx.doi.org/10.5194/acp-8-1367-2008")</f>
        <v>http://dx.doi.org/10.5194/acp-8-1367-2008</v>
      </c>
      <c r="BG120" t="s">
        <v>74</v>
      </c>
      <c r="BH120" t="s">
        <v>74</v>
      </c>
      <c r="BI120">
        <v>10</v>
      </c>
      <c r="BJ120" t="s">
        <v>2186</v>
      </c>
      <c r="BK120" t="s">
        <v>97</v>
      </c>
      <c r="BL120" t="s">
        <v>2187</v>
      </c>
      <c r="BM120" t="s">
        <v>2245</v>
      </c>
      <c r="BN120" t="s">
        <v>74</v>
      </c>
      <c r="BO120" t="s">
        <v>2246</v>
      </c>
      <c r="BP120" t="s">
        <v>74</v>
      </c>
      <c r="BQ120" t="s">
        <v>74</v>
      </c>
      <c r="BR120" t="s">
        <v>100</v>
      </c>
      <c r="BS120" t="s">
        <v>2247</v>
      </c>
      <c r="BT120" t="str">
        <f>HYPERLINK("https%3A%2F%2Fwww.webofscience.com%2Fwos%2Fwoscc%2Ffull-record%2FWOS:000253908600018","View Full Record in Web of Science")</f>
        <v>View Full Record in Web of Science</v>
      </c>
    </row>
    <row r="121" spans="1:72" x14ac:dyDescent="0.15">
      <c r="A121" t="s">
        <v>72</v>
      </c>
      <c r="B121" t="s">
        <v>2248</v>
      </c>
      <c r="C121" t="s">
        <v>74</v>
      </c>
      <c r="D121" t="s">
        <v>74</v>
      </c>
      <c r="E121" t="s">
        <v>74</v>
      </c>
      <c r="F121" t="s">
        <v>2249</v>
      </c>
      <c r="G121" t="s">
        <v>74</v>
      </c>
      <c r="H121" t="s">
        <v>74</v>
      </c>
      <c r="I121" t="s">
        <v>2250</v>
      </c>
      <c r="J121" t="s">
        <v>2172</v>
      </c>
      <c r="K121" t="s">
        <v>74</v>
      </c>
      <c r="L121" t="s">
        <v>74</v>
      </c>
      <c r="M121" t="s">
        <v>78</v>
      </c>
      <c r="N121" t="s">
        <v>106</v>
      </c>
      <c r="O121" t="s">
        <v>74</v>
      </c>
      <c r="P121" t="s">
        <v>74</v>
      </c>
      <c r="Q121" t="s">
        <v>74</v>
      </c>
      <c r="R121" t="s">
        <v>74</v>
      </c>
      <c r="S121" t="s">
        <v>74</v>
      </c>
      <c r="T121" t="s">
        <v>74</v>
      </c>
      <c r="U121" t="s">
        <v>2251</v>
      </c>
      <c r="V121" t="s">
        <v>2252</v>
      </c>
      <c r="W121" t="s">
        <v>2253</v>
      </c>
      <c r="X121" t="s">
        <v>2254</v>
      </c>
      <c r="Y121" t="s">
        <v>2255</v>
      </c>
      <c r="Z121" t="s">
        <v>2256</v>
      </c>
      <c r="AA121" t="s">
        <v>2257</v>
      </c>
      <c r="AB121" t="s">
        <v>2258</v>
      </c>
      <c r="AC121" t="s">
        <v>74</v>
      </c>
      <c r="AD121" t="s">
        <v>74</v>
      </c>
      <c r="AE121" t="s">
        <v>74</v>
      </c>
      <c r="AF121" t="s">
        <v>74</v>
      </c>
      <c r="AG121">
        <v>269</v>
      </c>
      <c r="AH121">
        <v>342</v>
      </c>
      <c r="AI121">
        <v>409</v>
      </c>
      <c r="AJ121">
        <v>2</v>
      </c>
      <c r="AK121">
        <v>190</v>
      </c>
      <c r="AL121" t="s">
        <v>1552</v>
      </c>
      <c r="AM121" t="s">
        <v>1553</v>
      </c>
      <c r="AN121" t="s">
        <v>1554</v>
      </c>
      <c r="AO121" t="s">
        <v>2181</v>
      </c>
      <c r="AP121" t="s">
        <v>2182</v>
      </c>
      <c r="AQ121" t="s">
        <v>74</v>
      </c>
      <c r="AR121" t="s">
        <v>2183</v>
      </c>
      <c r="AS121" t="s">
        <v>2184</v>
      </c>
      <c r="AT121" t="s">
        <v>74</v>
      </c>
      <c r="AU121">
        <v>2008</v>
      </c>
      <c r="AV121">
        <v>8</v>
      </c>
      <c r="AW121">
        <v>6</v>
      </c>
      <c r="AX121" t="s">
        <v>74</v>
      </c>
      <c r="AY121" t="s">
        <v>74</v>
      </c>
      <c r="AZ121" t="s">
        <v>74</v>
      </c>
      <c r="BA121" t="s">
        <v>74</v>
      </c>
      <c r="BB121">
        <v>1445</v>
      </c>
      <c r="BC121">
        <v>1482</v>
      </c>
      <c r="BD121" t="s">
        <v>74</v>
      </c>
      <c r="BE121" t="s">
        <v>2259</v>
      </c>
      <c r="BF121" t="str">
        <f>HYPERLINK("http://dx.doi.org/10.5194/acp-8-1445-2008","http://dx.doi.org/10.5194/acp-8-1445-2008")</f>
        <v>http://dx.doi.org/10.5194/acp-8-1445-2008</v>
      </c>
      <c r="BG121" t="s">
        <v>74</v>
      </c>
      <c r="BH121" t="s">
        <v>74</v>
      </c>
      <c r="BI121">
        <v>38</v>
      </c>
      <c r="BJ121" t="s">
        <v>2186</v>
      </c>
      <c r="BK121" t="s">
        <v>97</v>
      </c>
      <c r="BL121" t="s">
        <v>2187</v>
      </c>
      <c r="BM121" t="s">
        <v>2260</v>
      </c>
      <c r="BN121" t="s">
        <v>74</v>
      </c>
      <c r="BO121" t="s">
        <v>2261</v>
      </c>
      <c r="BP121" t="s">
        <v>74</v>
      </c>
      <c r="BQ121" t="s">
        <v>74</v>
      </c>
      <c r="BR121" t="s">
        <v>100</v>
      </c>
      <c r="BS121" t="s">
        <v>2262</v>
      </c>
      <c r="BT121" t="str">
        <f>HYPERLINK("https%3A%2F%2Fwww.webofscience.com%2Fwos%2Fwoscc%2Ffull-record%2FWOS:000254416700001","View Full Record in Web of Science")</f>
        <v>View Full Record in Web of Science</v>
      </c>
    </row>
    <row r="122" spans="1:72" x14ac:dyDescent="0.15">
      <c r="A122" t="s">
        <v>72</v>
      </c>
      <c r="B122" t="s">
        <v>2263</v>
      </c>
      <c r="C122" t="s">
        <v>74</v>
      </c>
      <c r="D122" t="s">
        <v>74</v>
      </c>
      <c r="E122" t="s">
        <v>74</v>
      </c>
      <c r="F122" t="s">
        <v>2264</v>
      </c>
      <c r="G122" t="s">
        <v>74</v>
      </c>
      <c r="H122" t="s">
        <v>74</v>
      </c>
      <c r="I122" t="s">
        <v>2265</v>
      </c>
      <c r="J122" t="s">
        <v>2172</v>
      </c>
      <c r="K122" t="s">
        <v>74</v>
      </c>
      <c r="L122" t="s">
        <v>74</v>
      </c>
      <c r="M122" t="s">
        <v>78</v>
      </c>
      <c r="N122" t="s">
        <v>106</v>
      </c>
      <c r="O122" t="s">
        <v>74</v>
      </c>
      <c r="P122" t="s">
        <v>74</v>
      </c>
      <c r="Q122" t="s">
        <v>74</v>
      </c>
      <c r="R122" t="s">
        <v>74</v>
      </c>
      <c r="S122" t="s">
        <v>74</v>
      </c>
      <c r="T122" t="s">
        <v>74</v>
      </c>
      <c r="U122" t="s">
        <v>2266</v>
      </c>
      <c r="V122" t="s">
        <v>2267</v>
      </c>
      <c r="W122" t="s">
        <v>2268</v>
      </c>
      <c r="X122" t="s">
        <v>2269</v>
      </c>
      <c r="Y122" t="s">
        <v>2270</v>
      </c>
      <c r="Z122" t="s">
        <v>2271</v>
      </c>
      <c r="AA122" t="s">
        <v>2272</v>
      </c>
      <c r="AB122" t="s">
        <v>2273</v>
      </c>
      <c r="AC122" t="s">
        <v>74</v>
      </c>
      <c r="AD122" t="s">
        <v>74</v>
      </c>
      <c r="AE122" t="s">
        <v>74</v>
      </c>
      <c r="AF122" t="s">
        <v>74</v>
      </c>
      <c r="AG122">
        <v>131</v>
      </c>
      <c r="AH122">
        <v>436</v>
      </c>
      <c r="AI122">
        <v>458</v>
      </c>
      <c r="AJ122">
        <v>2</v>
      </c>
      <c r="AK122">
        <v>75</v>
      </c>
      <c r="AL122" t="s">
        <v>1552</v>
      </c>
      <c r="AM122" t="s">
        <v>1553</v>
      </c>
      <c r="AN122" t="s">
        <v>1554</v>
      </c>
      <c r="AO122" t="s">
        <v>2181</v>
      </c>
      <c r="AP122" t="s">
        <v>2182</v>
      </c>
      <c r="AQ122" t="s">
        <v>74</v>
      </c>
      <c r="AR122" t="s">
        <v>2183</v>
      </c>
      <c r="AS122" t="s">
        <v>2184</v>
      </c>
      <c r="AT122" t="s">
        <v>74</v>
      </c>
      <c r="AU122">
        <v>2008</v>
      </c>
      <c r="AV122">
        <v>8</v>
      </c>
      <c r="AW122">
        <v>8</v>
      </c>
      <c r="AX122" t="s">
        <v>74</v>
      </c>
      <c r="AY122" t="s">
        <v>74</v>
      </c>
      <c r="AZ122" t="s">
        <v>74</v>
      </c>
      <c r="BA122" t="s">
        <v>74</v>
      </c>
      <c r="BB122">
        <v>2151</v>
      </c>
      <c r="BC122">
        <v>2188</v>
      </c>
      <c r="BD122" t="s">
        <v>74</v>
      </c>
      <c r="BE122" t="s">
        <v>2274</v>
      </c>
      <c r="BF122" t="str">
        <f>HYPERLINK("http://dx.doi.org/10.5194/acp-8-2151-2008","http://dx.doi.org/10.5194/acp-8-2151-2008")</f>
        <v>http://dx.doi.org/10.5194/acp-8-2151-2008</v>
      </c>
      <c r="BG122" t="s">
        <v>74</v>
      </c>
      <c r="BH122" t="s">
        <v>74</v>
      </c>
      <c r="BI122">
        <v>38</v>
      </c>
      <c r="BJ122" t="s">
        <v>2186</v>
      </c>
      <c r="BK122" t="s">
        <v>97</v>
      </c>
      <c r="BL122" t="s">
        <v>2187</v>
      </c>
      <c r="BM122" t="s">
        <v>2275</v>
      </c>
      <c r="BN122" t="s">
        <v>74</v>
      </c>
      <c r="BO122" t="s">
        <v>2276</v>
      </c>
      <c r="BP122" t="s">
        <v>74</v>
      </c>
      <c r="BQ122" t="s">
        <v>74</v>
      </c>
      <c r="BR122" t="s">
        <v>100</v>
      </c>
      <c r="BS122" t="s">
        <v>2277</v>
      </c>
      <c r="BT122" t="str">
        <f>HYPERLINK("https%3A%2F%2Fwww.webofscience.com%2Fwos%2Fwoscc%2Ffull-record%2FWOS:000255511300002","View Full Record in Web of Science")</f>
        <v>View Full Record in Web of Science</v>
      </c>
    </row>
    <row r="123" spans="1:72" x14ac:dyDescent="0.15">
      <c r="A123" t="s">
        <v>72</v>
      </c>
      <c r="B123" t="s">
        <v>2278</v>
      </c>
      <c r="C123" t="s">
        <v>74</v>
      </c>
      <c r="D123" t="s">
        <v>74</v>
      </c>
      <c r="E123" t="s">
        <v>74</v>
      </c>
      <c r="F123" t="s">
        <v>2279</v>
      </c>
      <c r="G123" t="s">
        <v>74</v>
      </c>
      <c r="H123" t="s">
        <v>74</v>
      </c>
      <c r="I123" t="s">
        <v>2280</v>
      </c>
      <c r="J123" t="s">
        <v>2172</v>
      </c>
      <c r="K123" t="s">
        <v>74</v>
      </c>
      <c r="L123" t="s">
        <v>74</v>
      </c>
      <c r="M123" t="s">
        <v>78</v>
      </c>
      <c r="N123" t="s">
        <v>79</v>
      </c>
      <c r="O123" t="s">
        <v>74</v>
      </c>
      <c r="P123" t="s">
        <v>74</v>
      </c>
      <c r="Q123" t="s">
        <v>74</v>
      </c>
      <c r="R123" t="s">
        <v>74</v>
      </c>
      <c r="S123" t="s">
        <v>74</v>
      </c>
      <c r="T123" t="s">
        <v>74</v>
      </c>
      <c r="U123" t="s">
        <v>2281</v>
      </c>
      <c r="V123" t="s">
        <v>2282</v>
      </c>
      <c r="W123" t="s">
        <v>2283</v>
      </c>
      <c r="X123" t="s">
        <v>2284</v>
      </c>
      <c r="Y123" t="s">
        <v>2285</v>
      </c>
      <c r="Z123" t="s">
        <v>2286</v>
      </c>
      <c r="AA123" t="s">
        <v>2287</v>
      </c>
      <c r="AB123" t="s">
        <v>2288</v>
      </c>
      <c r="AC123" t="s">
        <v>2289</v>
      </c>
      <c r="AD123" t="s">
        <v>242</v>
      </c>
      <c r="AE123" t="s">
        <v>74</v>
      </c>
      <c r="AF123" t="s">
        <v>74</v>
      </c>
      <c r="AG123">
        <v>54</v>
      </c>
      <c r="AH123">
        <v>80</v>
      </c>
      <c r="AI123">
        <v>92</v>
      </c>
      <c r="AJ123">
        <v>1</v>
      </c>
      <c r="AK123">
        <v>38</v>
      </c>
      <c r="AL123" t="s">
        <v>1552</v>
      </c>
      <c r="AM123" t="s">
        <v>1553</v>
      </c>
      <c r="AN123" t="s">
        <v>1554</v>
      </c>
      <c r="AO123" t="s">
        <v>2181</v>
      </c>
      <c r="AP123" t="s">
        <v>2182</v>
      </c>
      <c r="AQ123" t="s">
        <v>74</v>
      </c>
      <c r="AR123" t="s">
        <v>2183</v>
      </c>
      <c r="AS123" t="s">
        <v>2184</v>
      </c>
      <c r="AT123" t="s">
        <v>74</v>
      </c>
      <c r="AU123">
        <v>2008</v>
      </c>
      <c r="AV123">
        <v>8</v>
      </c>
      <c r="AW123">
        <v>11</v>
      </c>
      <c r="AX123" t="s">
        <v>74</v>
      </c>
      <c r="AY123" t="s">
        <v>74</v>
      </c>
      <c r="AZ123" t="s">
        <v>74</v>
      </c>
      <c r="BA123" t="s">
        <v>74</v>
      </c>
      <c r="BB123">
        <v>2985</v>
      </c>
      <c r="BC123">
        <v>2997</v>
      </c>
      <c r="BD123" t="s">
        <v>74</v>
      </c>
      <c r="BE123" t="s">
        <v>2290</v>
      </c>
      <c r="BF123" t="str">
        <f>HYPERLINK("http://dx.doi.org/10.5194/acp-8-2985-2008","http://dx.doi.org/10.5194/acp-8-2985-2008")</f>
        <v>http://dx.doi.org/10.5194/acp-8-2985-2008</v>
      </c>
      <c r="BG123" t="s">
        <v>74</v>
      </c>
      <c r="BH123" t="s">
        <v>74</v>
      </c>
      <c r="BI123">
        <v>13</v>
      </c>
      <c r="BJ123" t="s">
        <v>2186</v>
      </c>
      <c r="BK123" t="s">
        <v>97</v>
      </c>
      <c r="BL123" t="s">
        <v>2187</v>
      </c>
      <c r="BM123" t="s">
        <v>2291</v>
      </c>
      <c r="BN123" t="s">
        <v>74</v>
      </c>
      <c r="BO123" t="s">
        <v>1581</v>
      </c>
      <c r="BP123" t="s">
        <v>74</v>
      </c>
      <c r="BQ123" t="s">
        <v>74</v>
      </c>
      <c r="BR123" t="s">
        <v>100</v>
      </c>
      <c r="BS123" t="s">
        <v>2292</v>
      </c>
      <c r="BT123" t="str">
        <f>HYPERLINK("https%3A%2F%2Fwww.webofscience.com%2Fwos%2Fwoscc%2Ffull-record%2FWOS:000256784100011","View Full Record in Web of Science")</f>
        <v>View Full Record in Web of Science</v>
      </c>
    </row>
    <row r="124" spans="1:72" x14ac:dyDescent="0.15">
      <c r="A124" t="s">
        <v>72</v>
      </c>
      <c r="B124" t="s">
        <v>2293</v>
      </c>
      <c r="C124" t="s">
        <v>74</v>
      </c>
      <c r="D124" t="s">
        <v>74</v>
      </c>
      <c r="E124" t="s">
        <v>74</v>
      </c>
      <c r="F124" t="s">
        <v>2294</v>
      </c>
      <c r="G124" t="s">
        <v>74</v>
      </c>
      <c r="H124" t="s">
        <v>74</v>
      </c>
      <c r="I124" t="s">
        <v>2295</v>
      </c>
      <c r="J124" t="s">
        <v>2172</v>
      </c>
      <c r="K124" t="s">
        <v>74</v>
      </c>
      <c r="L124" t="s">
        <v>74</v>
      </c>
      <c r="M124" t="s">
        <v>78</v>
      </c>
      <c r="N124" t="s">
        <v>79</v>
      </c>
      <c r="O124" t="s">
        <v>74</v>
      </c>
      <c r="P124" t="s">
        <v>74</v>
      </c>
      <c r="Q124" t="s">
        <v>74</v>
      </c>
      <c r="R124" t="s">
        <v>74</v>
      </c>
      <c r="S124" t="s">
        <v>74</v>
      </c>
      <c r="T124" t="s">
        <v>74</v>
      </c>
      <c r="U124" t="s">
        <v>2296</v>
      </c>
      <c r="V124" t="s">
        <v>2297</v>
      </c>
      <c r="W124" t="s">
        <v>2298</v>
      </c>
      <c r="X124" t="s">
        <v>2299</v>
      </c>
      <c r="Y124" t="s">
        <v>2300</v>
      </c>
      <c r="Z124" t="s">
        <v>2301</v>
      </c>
      <c r="AA124" t="s">
        <v>2302</v>
      </c>
      <c r="AB124" t="s">
        <v>2303</v>
      </c>
      <c r="AC124" t="s">
        <v>74</v>
      </c>
      <c r="AD124" t="s">
        <v>74</v>
      </c>
      <c r="AE124" t="s">
        <v>74</v>
      </c>
      <c r="AF124" t="s">
        <v>74</v>
      </c>
      <c r="AG124">
        <v>78</v>
      </c>
      <c r="AH124">
        <v>74</v>
      </c>
      <c r="AI124">
        <v>86</v>
      </c>
      <c r="AJ124">
        <v>1</v>
      </c>
      <c r="AK124">
        <v>26</v>
      </c>
      <c r="AL124" t="s">
        <v>1552</v>
      </c>
      <c r="AM124" t="s">
        <v>1553</v>
      </c>
      <c r="AN124" t="s">
        <v>1554</v>
      </c>
      <c r="AO124" t="s">
        <v>2181</v>
      </c>
      <c r="AP124" t="s">
        <v>2182</v>
      </c>
      <c r="AQ124" t="s">
        <v>74</v>
      </c>
      <c r="AR124" t="s">
        <v>2183</v>
      </c>
      <c r="AS124" t="s">
        <v>2184</v>
      </c>
      <c r="AT124" t="s">
        <v>74</v>
      </c>
      <c r="AU124">
        <v>2008</v>
      </c>
      <c r="AV124">
        <v>8</v>
      </c>
      <c r="AW124">
        <v>13</v>
      </c>
      <c r="AX124" t="s">
        <v>74</v>
      </c>
      <c r="AY124" t="s">
        <v>74</v>
      </c>
      <c r="AZ124" t="s">
        <v>74</v>
      </c>
      <c r="BA124" t="s">
        <v>74</v>
      </c>
      <c r="BB124">
        <v>3563</v>
      </c>
      <c r="BC124">
        <v>3582</v>
      </c>
      <c r="BD124" t="s">
        <v>74</v>
      </c>
      <c r="BE124" t="s">
        <v>2304</v>
      </c>
      <c r="BF124" t="str">
        <f>HYPERLINK("http://dx.doi.org/10.5194/acp-8-3563-2008","http://dx.doi.org/10.5194/acp-8-3563-2008")</f>
        <v>http://dx.doi.org/10.5194/acp-8-3563-2008</v>
      </c>
      <c r="BG124" t="s">
        <v>74</v>
      </c>
      <c r="BH124" t="s">
        <v>74</v>
      </c>
      <c r="BI124">
        <v>20</v>
      </c>
      <c r="BJ124" t="s">
        <v>2186</v>
      </c>
      <c r="BK124" t="s">
        <v>97</v>
      </c>
      <c r="BL124" t="s">
        <v>2187</v>
      </c>
      <c r="BM124" t="s">
        <v>2305</v>
      </c>
      <c r="BN124" t="s">
        <v>74</v>
      </c>
      <c r="BO124" t="s">
        <v>1581</v>
      </c>
      <c r="BP124" t="s">
        <v>74</v>
      </c>
      <c r="BQ124" t="s">
        <v>74</v>
      </c>
      <c r="BR124" t="s">
        <v>100</v>
      </c>
      <c r="BS124" t="s">
        <v>2306</v>
      </c>
      <c r="BT124" t="str">
        <f>HYPERLINK("https%3A%2F%2Fwww.webofscience.com%2Fwos%2Fwoscc%2Ffull-record%2FWOS:000257516800011","View Full Record in Web of Science")</f>
        <v>View Full Record in Web of Science</v>
      </c>
    </row>
    <row r="125" spans="1:72" x14ac:dyDescent="0.15">
      <c r="A125" t="s">
        <v>72</v>
      </c>
      <c r="B125" t="s">
        <v>2307</v>
      </c>
      <c r="C125" t="s">
        <v>74</v>
      </c>
      <c r="D125" t="s">
        <v>74</v>
      </c>
      <c r="E125" t="s">
        <v>74</v>
      </c>
      <c r="F125" t="s">
        <v>2308</v>
      </c>
      <c r="G125" t="s">
        <v>74</v>
      </c>
      <c r="H125" t="s">
        <v>74</v>
      </c>
      <c r="I125" t="s">
        <v>2309</v>
      </c>
      <c r="J125" t="s">
        <v>2172</v>
      </c>
      <c r="K125" t="s">
        <v>74</v>
      </c>
      <c r="L125" t="s">
        <v>74</v>
      </c>
      <c r="M125" t="s">
        <v>78</v>
      </c>
      <c r="N125" t="s">
        <v>79</v>
      </c>
      <c r="O125" t="s">
        <v>74</v>
      </c>
      <c r="P125" t="s">
        <v>74</v>
      </c>
      <c r="Q125" t="s">
        <v>74</v>
      </c>
      <c r="R125" t="s">
        <v>74</v>
      </c>
      <c r="S125" t="s">
        <v>74</v>
      </c>
      <c r="T125" t="s">
        <v>74</v>
      </c>
      <c r="U125" t="s">
        <v>2310</v>
      </c>
      <c r="V125" t="s">
        <v>2311</v>
      </c>
      <c r="W125" t="s">
        <v>2312</v>
      </c>
      <c r="X125" t="s">
        <v>2313</v>
      </c>
      <c r="Y125" t="s">
        <v>2314</v>
      </c>
      <c r="Z125" t="s">
        <v>2315</v>
      </c>
      <c r="AA125" t="s">
        <v>2316</v>
      </c>
      <c r="AB125" t="s">
        <v>2317</v>
      </c>
      <c r="AC125" t="s">
        <v>2318</v>
      </c>
      <c r="AD125" t="s">
        <v>2319</v>
      </c>
      <c r="AE125" t="s">
        <v>2320</v>
      </c>
      <c r="AF125" t="s">
        <v>74</v>
      </c>
      <c r="AG125">
        <v>36</v>
      </c>
      <c r="AH125">
        <v>20</v>
      </c>
      <c r="AI125">
        <v>20</v>
      </c>
      <c r="AJ125">
        <v>1</v>
      </c>
      <c r="AK125">
        <v>10</v>
      </c>
      <c r="AL125" t="s">
        <v>1552</v>
      </c>
      <c r="AM125" t="s">
        <v>1553</v>
      </c>
      <c r="AN125" t="s">
        <v>1554</v>
      </c>
      <c r="AO125" t="s">
        <v>2181</v>
      </c>
      <c r="AP125" t="s">
        <v>2182</v>
      </c>
      <c r="AQ125" t="s">
        <v>74</v>
      </c>
      <c r="AR125" t="s">
        <v>2183</v>
      </c>
      <c r="AS125" t="s">
        <v>2184</v>
      </c>
      <c r="AT125" t="s">
        <v>74</v>
      </c>
      <c r="AU125">
        <v>2008</v>
      </c>
      <c r="AV125">
        <v>8</v>
      </c>
      <c r="AW125">
        <v>13</v>
      </c>
      <c r="AX125" t="s">
        <v>74</v>
      </c>
      <c r="AY125" t="s">
        <v>74</v>
      </c>
      <c r="AZ125" t="s">
        <v>74</v>
      </c>
      <c r="BA125" t="s">
        <v>74</v>
      </c>
      <c r="BB125">
        <v>3689</v>
      </c>
      <c r="BC125">
        <v>3703</v>
      </c>
      <c r="BD125" t="s">
        <v>74</v>
      </c>
      <c r="BE125" t="s">
        <v>2321</v>
      </c>
      <c r="BF125" t="str">
        <f>HYPERLINK("http://dx.doi.org/10.5194/acp-8-3689-2008","http://dx.doi.org/10.5194/acp-8-3689-2008")</f>
        <v>http://dx.doi.org/10.5194/acp-8-3689-2008</v>
      </c>
      <c r="BG125" t="s">
        <v>74</v>
      </c>
      <c r="BH125" t="s">
        <v>74</v>
      </c>
      <c r="BI125">
        <v>15</v>
      </c>
      <c r="BJ125" t="s">
        <v>2186</v>
      </c>
      <c r="BK125" t="s">
        <v>97</v>
      </c>
      <c r="BL125" t="s">
        <v>2187</v>
      </c>
      <c r="BM125" t="s">
        <v>2305</v>
      </c>
      <c r="BN125" t="s">
        <v>74</v>
      </c>
      <c r="BO125" t="s">
        <v>1618</v>
      </c>
      <c r="BP125" t="s">
        <v>74</v>
      </c>
      <c r="BQ125" t="s">
        <v>74</v>
      </c>
      <c r="BR125" t="s">
        <v>100</v>
      </c>
      <c r="BS125" t="s">
        <v>2322</v>
      </c>
      <c r="BT125" t="str">
        <f>HYPERLINK("https%3A%2F%2Fwww.webofscience.com%2Fwos%2Fwoscc%2Ffull-record%2FWOS:000257516800019","View Full Record in Web of Science")</f>
        <v>View Full Record in Web of Science</v>
      </c>
    </row>
    <row r="126" spans="1:72" x14ac:dyDescent="0.15">
      <c r="A126" t="s">
        <v>72</v>
      </c>
      <c r="B126" t="s">
        <v>2323</v>
      </c>
      <c r="C126" t="s">
        <v>74</v>
      </c>
      <c r="D126" t="s">
        <v>74</v>
      </c>
      <c r="E126" t="s">
        <v>74</v>
      </c>
      <c r="F126" t="s">
        <v>2324</v>
      </c>
      <c r="G126" t="s">
        <v>74</v>
      </c>
      <c r="H126" t="s">
        <v>74</v>
      </c>
      <c r="I126" t="s">
        <v>2325</v>
      </c>
      <c r="J126" t="s">
        <v>2172</v>
      </c>
      <c r="K126" t="s">
        <v>74</v>
      </c>
      <c r="L126" t="s">
        <v>74</v>
      </c>
      <c r="M126" t="s">
        <v>78</v>
      </c>
      <c r="N126" t="s">
        <v>79</v>
      </c>
      <c r="O126" t="s">
        <v>74</v>
      </c>
      <c r="P126" t="s">
        <v>74</v>
      </c>
      <c r="Q126" t="s">
        <v>74</v>
      </c>
      <c r="R126" t="s">
        <v>74</v>
      </c>
      <c r="S126" t="s">
        <v>74</v>
      </c>
      <c r="T126" t="s">
        <v>74</v>
      </c>
      <c r="U126" t="s">
        <v>2326</v>
      </c>
      <c r="V126" t="s">
        <v>2327</v>
      </c>
      <c r="W126" t="s">
        <v>2328</v>
      </c>
      <c r="X126" t="s">
        <v>2329</v>
      </c>
      <c r="Y126" t="s">
        <v>2330</v>
      </c>
      <c r="Z126" t="s">
        <v>2331</v>
      </c>
      <c r="AA126" t="s">
        <v>2332</v>
      </c>
      <c r="AB126" t="s">
        <v>2333</v>
      </c>
      <c r="AC126" t="s">
        <v>2334</v>
      </c>
      <c r="AD126" t="s">
        <v>242</v>
      </c>
      <c r="AE126" t="s">
        <v>74</v>
      </c>
      <c r="AF126" t="s">
        <v>74</v>
      </c>
      <c r="AG126">
        <v>40</v>
      </c>
      <c r="AH126">
        <v>54</v>
      </c>
      <c r="AI126">
        <v>61</v>
      </c>
      <c r="AJ126">
        <v>1</v>
      </c>
      <c r="AK126">
        <v>13</v>
      </c>
      <c r="AL126" t="s">
        <v>1552</v>
      </c>
      <c r="AM126" t="s">
        <v>1553</v>
      </c>
      <c r="AN126" t="s">
        <v>1554</v>
      </c>
      <c r="AO126" t="s">
        <v>2181</v>
      </c>
      <c r="AP126" t="s">
        <v>74</v>
      </c>
      <c r="AQ126" t="s">
        <v>74</v>
      </c>
      <c r="AR126" t="s">
        <v>2183</v>
      </c>
      <c r="AS126" t="s">
        <v>2184</v>
      </c>
      <c r="AT126" t="s">
        <v>74</v>
      </c>
      <c r="AU126">
        <v>2008</v>
      </c>
      <c r="AV126">
        <v>8</v>
      </c>
      <c r="AW126">
        <v>14</v>
      </c>
      <c r="AX126" t="s">
        <v>74</v>
      </c>
      <c r="AY126" t="s">
        <v>74</v>
      </c>
      <c r="AZ126" t="s">
        <v>74</v>
      </c>
      <c r="BA126" t="s">
        <v>74</v>
      </c>
      <c r="BB126">
        <v>3789</v>
      </c>
      <c r="BC126">
        <v>3803</v>
      </c>
      <c r="BD126" t="s">
        <v>74</v>
      </c>
      <c r="BE126" t="s">
        <v>2335</v>
      </c>
      <c r="BF126" t="str">
        <f>HYPERLINK("http://dx.doi.org/10.5194/acp-8-3789-2008","http://dx.doi.org/10.5194/acp-8-3789-2008")</f>
        <v>http://dx.doi.org/10.5194/acp-8-3789-2008</v>
      </c>
      <c r="BG126" t="s">
        <v>74</v>
      </c>
      <c r="BH126" t="s">
        <v>74</v>
      </c>
      <c r="BI126">
        <v>15</v>
      </c>
      <c r="BJ126" t="s">
        <v>2186</v>
      </c>
      <c r="BK126" t="s">
        <v>97</v>
      </c>
      <c r="BL126" t="s">
        <v>2187</v>
      </c>
      <c r="BM126" t="s">
        <v>2336</v>
      </c>
      <c r="BN126" t="s">
        <v>74</v>
      </c>
      <c r="BO126" t="s">
        <v>1581</v>
      </c>
      <c r="BP126" t="s">
        <v>74</v>
      </c>
      <c r="BQ126" t="s">
        <v>74</v>
      </c>
      <c r="BR126" t="s">
        <v>100</v>
      </c>
      <c r="BS126" t="s">
        <v>2337</v>
      </c>
      <c r="BT126" t="str">
        <f>HYPERLINK("https%3A%2F%2Fwww.webofscience.com%2Fwos%2Fwoscc%2Ffull-record%2FWOS:000258146500006","View Full Record in Web of Science")</f>
        <v>View Full Record in Web of Science</v>
      </c>
    </row>
    <row r="127" spans="1:72" x14ac:dyDescent="0.15">
      <c r="A127" t="s">
        <v>72</v>
      </c>
      <c r="B127" t="s">
        <v>2338</v>
      </c>
      <c r="C127" t="s">
        <v>74</v>
      </c>
      <c r="D127" t="s">
        <v>74</v>
      </c>
      <c r="E127" t="s">
        <v>74</v>
      </c>
      <c r="F127" t="s">
        <v>2339</v>
      </c>
      <c r="G127" t="s">
        <v>74</v>
      </c>
      <c r="H127" t="s">
        <v>74</v>
      </c>
      <c r="I127" t="s">
        <v>2340</v>
      </c>
      <c r="J127" t="s">
        <v>2172</v>
      </c>
      <c r="K127" t="s">
        <v>74</v>
      </c>
      <c r="L127" t="s">
        <v>74</v>
      </c>
      <c r="M127" t="s">
        <v>78</v>
      </c>
      <c r="N127" t="s">
        <v>79</v>
      </c>
      <c r="O127" t="s">
        <v>74</v>
      </c>
      <c r="P127" t="s">
        <v>74</v>
      </c>
      <c r="Q127" t="s">
        <v>74</v>
      </c>
      <c r="R127" t="s">
        <v>74</v>
      </c>
      <c r="S127" t="s">
        <v>74</v>
      </c>
      <c r="T127" t="s">
        <v>74</v>
      </c>
      <c r="U127" t="s">
        <v>2341</v>
      </c>
      <c r="V127" t="s">
        <v>2342</v>
      </c>
      <c r="W127" t="s">
        <v>2343</v>
      </c>
      <c r="X127" t="s">
        <v>2344</v>
      </c>
      <c r="Y127" t="s">
        <v>2345</v>
      </c>
      <c r="Z127" t="s">
        <v>2346</v>
      </c>
      <c r="AA127" t="s">
        <v>2347</v>
      </c>
      <c r="AB127" t="s">
        <v>2348</v>
      </c>
      <c r="AC127" t="s">
        <v>2349</v>
      </c>
      <c r="AD127" t="s">
        <v>444</v>
      </c>
      <c r="AE127" t="s">
        <v>74</v>
      </c>
      <c r="AF127" t="s">
        <v>74</v>
      </c>
      <c r="AG127">
        <v>46</v>
      </c>
      <c r="AH127">
        <v>16</v>
      </c>
      <c r="AI127">
        <v>19</v>
      </c>
      <c r="AJ127">
        <v>1</v>
      </c>
      <c r="AK127">
        <v>10</v>
      </c>
      <c r="AL127" t="s">
        <v>1552</v>
      </c>
      <c r="AM127" t="s">
        <v>1553</v>
      </c>
      <c r="AN127" t="s">
        <v>1554</v>
      </c>
      <c r="AO127" t="s">
        <v>2181</v>
      </c>
      <c r="AP127" t="s">
        <v>2182</v>
      </c>
      <c r="AQ127" t="s">
        <v>74</v>
      </c>
      <c r="AR127" t="s">
        <v>2183</v>
      </c>
      <c r="AS127" t="s">
        <v>2184</v>
      </c>
      <c r="AT127" t="s">
        <v>74</v>
      </c>
      <c r="AU127">
        <v>2008</v>
      </c>
      <c r="AV127">
        <v>8</v>
      </c>
      <c r="AW127">
        <v>14</v>
      </c>
      <c r="AX127" t="s">
        <v>74</v>
      </c>
      <c r="AY127" t="s">
        <v>74</v>
      </c>
      <c r="AZ127" t="s">
        <v>74</v>
      </c>
      <c r="BA127" t="s">
        <v>74</v>
      </c>
      <c r="BB127">
        <v>4085</v>
      </c>
      <c r="BC127">
        <v>4093</v>
      </c>
      <c r="BD127" t="s">
        <v>74</v>
      </c>
      <c r="BE127" t="s">
        <v>2350</v>
      </c>
      <c r="BF127" t="str">
        <f>HYPERLINK("http://dx.doi.org/10.5194/acp-8-4085-2008","http://dx.doi.org/10.5194/acp-8-4085-2008")</f>
        <v>http://dx.doi.org/10.5194/acp-8-4085-2008</v>
      </c>
      <c r="BG127" t="s">
        <v>74</v>
      </c>
      <c r="BH127" t="s">
        <v>74</v>
      </c>
      <c r="BI127">
        <v>9</v>
      </c>
      <c r="BJ127" t="s">
        <v>2186</v>
      </c>
      <c r="BK127" t="s">
        <v>97</v>
      </c>
      <c r="BL127" t="s">
        <v>2187</v>
      </c>
      <c r="BM127" t="s">
        <v>2336</v>
      </c>
      <c r="BN127" t="s">
        <v>74</v>
      </c>
      <c r="BO127" t="s">
        <v>1581</v>
      </c>
      <c r="BP127" t="s">
        <v>74</v>
      </c>
      <c r="BQ127" t="s">
        <v>74</v>
      </c>
      <c r="BR127" t="s">
        <v>100</v>
      </c>
      <c r="BS127" t="s">
        <v>2351</v>
      </c>
      <c r="BT127" t="str">
        <f>HYPERLINK("https%3A%2F%2Fwww.webofscience.com%2Fwos%2Fwoscc%2Ffull-record%2FWOS:000258146500028","View Full Record in Web of Science")</f>
        <v>View Full Record in Web of Science</v>
      </c>
    </row>
    <row r="128" spans="1:72" x14ac:dyDescent="0.15">
      <c r="A128" t="s">
        <v>72</v>
      </c>
      <c r="B128" t="s">
        <v>2293</v>
      </c>
      <c r="C128" t="s">
        <v>74</v>
      </c>
      <c r="D128" t="s">
        <v>74</v>
      </c>
      <c r="E128" t="s">
        <v>74</v>
      </c>
      <c r="F128" t="s">
        <v>2294</v>
      </c>
      <c r="G128" t="s">
        <v>74</v>
      </c>
      <c r="H128" t="s">
        <v>74</v>
      </c>
      <c r="I128" t="s">
        <v>2352</v>
      </c>
      <c r="J128" t="s">
        <v>2172</v>
      </c>
      <c r="K128" t="s">
        <v>74</v>
      </c>
      <c r="L128" t="s">
        <v>74</v>
      </c>
      <c r="M128" t="s">
        <v>78</v>
      </c>
      <c r="N128" t="s">
        <v>2353</v>
      </c>
      <c r="O128" t="s">
        <v>74</v>
      </c>
      <c r="P128" t="s">
        <v>74</v>
      </c>
      <c r="Q128" t="s">
        <v>74</v>
      </c>
      <c r="R128" t="s">
        <v>74</v>
      </c>
      <c r="S128" t="s">
        <v>74</v>
      </c>
      <c r="T128" t="s">
        <v>74</v>
      </c>
      <c r="U128" t="s">
        <v>74</v>
      </c>
      <c r="V128" t="s">
        <v>2354</v>
      </c>
      <c r="W128" t="s">
        <v>2355</v>
      </c>
      <c r="X128" t="s">
        <v>2299</v>
      </c>
      <c r="Y128" t="s">
        <v>2300</v>
      </c>
      <c r="Z128" t="s">
        <v>2301</v>
      </c>
      <c r="AA128" t="s">
        <v>74</v>
      </c>
      <c r="AB128" t="s">
        <v>74</v>
      </c>
      <c r="AC128" t="s">
        <v>74</v>
      </c>
      <c r="AD128" t="s">
        <v>74</v>
      </c>
      <c r="AE128" t="s">
        <v>74</v>
      </c>
      <c r="AF128" t="s">
        <v>74</v>
      </c>
      <c r="AG128">
        <v>1</v>
      </c>
      <c r="AH128">
        <v>0</v>
      </c>
      <c r="AI128">
        <v>0</v>
      </c>
      <c r="AJ128">
        <v>0</v>
      </c>
      <c r="AK128">
        <v>1</v>
      </c>
      <c r="AL128" t="s">
        <v>1552</v>
      </c>
      <c r="AM128" t="s">
        <v>1553</v>
      </c>
      <c r="AN128" t="s">
        <v>1554</v>
      </c>
      <c r="AO128" t="s">
        <v>2181</v>
      </c>
      <c r="AP128" t="s">
        <v>2182</v>
      </c>
      <c r="AQ128" t="s">
        <v>74</v>
      </c>
      <c r="AR128" t="s">
        <v>2183</v>
      </c>
      <c r="AS128" t="s">
        <v>2184</v>
      </c>
      <c r="AT128" t="s">
        <v>74</v>
      </c>
      <c r="AU128">
        <v>2008</v>
      </c>
      <c r="AV128">
        <v>8</v>
      </c>
      <c r="AW128">
        <v>14</v>
      </c>
      <c r="AX128" t="s">
        <v>74</v>
      </c>
      <c r="AY128" t="s">
        <v>74</v>
      </c>
      <c r="AZ128" t="s">
        <v>74</v>
      </c>
      <c r="BA128" t="s">
        <v>74</v>
      </c>
      <c r="BB128">
        <v>4115</v>
      </c>
      <c r="BC128">
        <v>4115</v>
      </c>
      <c r="BD128" t="s">
        <v>74</v>
      </c>
      <c r="BE128" t="s">
        <v>2356</v>
      </c>
      <c r="BF128" t="str">
        <f>HYPERLINK("http://dx.doi.org/10.5194/acp-8-4115-2008","http://dx.doi.org/10.5194/acp-8-4115-2008")</f>
        <v>http://dx.doi.org/10.5194/acp-8-4115-2008</v>
      </c>
      <c r="BG128" t="s">
        <v>74</v>
      </c>
      <c r="BH128" t="s">
        <v>74</v>
      </c>
      <c r="BI128">
        <v>1</v>
      </c>
      <c r="BJ128" t="s">
        <v>2186</v>
      </c>
      <c r="BK128" t="s">
        <v>97</v>
      </c>
      <c r="BL128" t="s">
        <v>2187</v>
      </c>
      <c r="BM128" t="s">
        <v>2336</v>
      </c>
      <c r="BN128" t="s">
        <v>74</v>
      </c>
      <c r="BO128" t="s">
        <v>1681</v>
      </c>
      <c r="BP128" t="s">
        <v>74</v>
      </c>
      <c r="BQ128" t="s">
        <v>74</v>
      </c>
      <c r="BR128" t="s">
        <v>100</v>
      </c>
      <c r="BS128" t="s">
        <v>2357</v>
      </c>
      <c r="BT128" t="str">
        <f>HYPERLINK("https%3A%2F%2Fwww.webofscience.com%2Fwos%2Fwoscc%2Ffull-record%2FWOS:000258146500031","View Full Record in Web of Science")</f>
        <v>View Full Record in Web of Science</v>
      </c>
    </row>
    <row r="129" spans="1:72" x14ac:dyDescent="0.15">
      <c r="A129" t="s">
        <v>72</v>
      </c>
      <c r="B129" t="s">
        <v>2358</v>
      </c>
      <c r="C129" t="s">
        <v>74</v>
      </c>
      <c r="D129" t="s">
        <v>74</v>
      </c>
      <c r="E129" t="s">
        <v>74</v>
      </c>
      <c r="F129" t="s">
        <v>2359</v>
      </c>
      <c r="G129" t="s">
        <v>74</v>
      </c>
      <c r="H129" t="s">
        <v>74</v>
      </c>
      <c r="I129" t="s">
        <v>2360</v>
      </c>
      <c r="J129" t="s">
        <v>2172</v>
      </c>
      <c r="K129" t="s">
        <v>74</v>
      </c>
      <c r="L129" t="s">
        <v>74</v>
      </c>
      <c r="M129" t="s">
        <v>78</v>
      </c>
      <c r="N129" t="s">
        <v>79</v>
      </c>
      <c r="O129" t="s">
        <v>74</v>
      </c>
      <c r="P129" t="s">
        <v>74</v>
      </c>
      <c r="Q129" t="s">
        <v>74</v>
      </c>
      <c r="R129" t="s">
        <v>74</v>
      </c>
      <c r="S129" t="s">
        <v>74</v>
      </c>
      <c r="T129" t="s">
        <v>74</v>
      </c>
      <c r="U129" t="s">
        <v>2361</v>
      </c>
      <c r="V129" t="s">
        <v>2362</v>
      </c>
      <c r="W129" t="s">
        <v>2363</v>
      </c>
      <c r="X129" t="s">
        <v>2364</v>
      </c>
      <c r="Y129" t="s">
        <v>2365</v>
      </c>
      <c r="Z129" t="s">
        <v>2366</v>
      </c>
      <c r="AA129" t="s">
        <v>2367</v>
      </c>
      <c r="AB129" t="s">
        <v>2368</v>
      </c>
      <c r="AC129" t="s">
        <v>2369</v>
      </c>
      <c r="AD129" t="s">
        <v>2370</v>
      </c>
      <c r="AE129" t="s">
        <v>2371</v>
      </c>
      <c r="AF129" t="s">
        <v>74</v>
      </c>
      <c r="AG129">
        <v>55</v>
      </c>
      <c r="AH129">
        <v>111</v>
      </c>
      <c r="AI129">
        <v>126</v>
      </c>
      <c r="AJ129">
        <v>2</v>
      </c>
      <c r="AK129">
        <v>45</v>
      </c>
      <c r="AL129" t="s">
        <v>1552</v>
      </c>
      <c r="AM129" t="s">
        <v>1553</v>
      </c>
      <c r="AN129" t="s">
        <v>1554</v>
      </c>
      <c r="AO129" t="s">
        <v>2181</v>
      </c>
      <c r="AP129" t="s">
        <v>2182</v>
      </c>
      <c r="AQ129" t="s">
        <v>74</v>
      </c>
      <c r="AR129" t="s">
        <v>2183</v>
      </c>
      <c r="AS129" t="s">
        <v>2184</v>
      </c>
      <c r="AT129" t="s">
        <v>74</v>
      </c>
      <c r="AU129">
        <v>2008</v>
      </c>
      <c r="AV129">
        <v>8</v>
      </c>
      <c r="AW129">
        <v>16</v>
      </c>
      <c r="AX129" t="s">
        <v>74</v>
      </c>
      <c r="AY129" t="s">
        <v>74</v>
      </c>
      <c r="AZ129" t="s">
        <v>74</v>
      </c>
      <c r="BA129" t="s">
        <v>74</v>
      </c>
      <c r="BB129">
        <v>4711</v>
      </c>
      <c r="BC129">
        <v>4728</v>
      </c>
      <c r="BD129" t="s">
        <v>74</v>
      </c>
      <c r="BE129" t="s">
        <v>2372</v>
      </c>
      <c r="BF129" t="str">
        <f>HYPERLINK("http://dx.doi.org/10.5194/acp-8-4711-2008","http://dx.doi.org/10.5194/acp-8-4711-2008")</f>
        <v>http://dx.doi.org/10.5194/acp-8-4711-2008</v>
      </c>
      <c r="BG129" t="s">
        <v>74</v>
      </c>
      <c r="BH129" t="s">
        <v>74</v>
      </c>
      <c r="BI129">
        <v>18</v>
      </c>
      <c r="BJ129" t="s">
        <v>2186</v>
      </c>
      <c r="BK129" t="s">
        <v>97</v>
      </c>
      <c r="BL129" t="s">
        <v>2187</v>
      </c>
      <c r="BM129" t="s">
        <v>2373</v>
      </c>
      <c r="BN129" t="s">
        <v>74</v>
      </c>
      <c r="BO129" t="s">
        <v>1618</v>
      </c>
      <c r="BP129" t="s">
        <v>74</v>
      </c>
      <c r="BQ129" t="s">
        <v>74</v>
      </c>
      <c r="BR129" t="s">
        <v>100</v>
      </c>
      <c r="BS129" t="s">
        <v>2374</v>
      </c>
      <c r="BT129" t="str">
        <f>HYPERLINK("https%3A%2F%2Fwww.webofscience.com%2Fwos%2Fwoscc%2Ffull-record%2FWOS:000258863900016","View Full Record in Web of Science")</f>
        <v>View Full Record in Web of Science</v>
      </c>
    </row>
    <row r="130" spans="1:72" x14ac:dyDescent="0.15">
      <c r="A130" t="s">
        <v>72</v>
      </c>
      <c r="B130" t="s">
        <v>2375</v>
      </c>
      <c r="C130" t="s">
        <v>74</v>
      </c>
      <c r="D130" t="s">
        <v>74</v>
      </c>
      <c r="E130" t="s">
        <v>74</v>
      </c>
      <c r="F130" t="s">
        <v>2376</v>
      </c>
      <c r="G130" t="s">
        <v>74</v>
      </c>
      <c r="H130" t="s">
        <v>74</v>
      </c>
      <c r="I130" t="s">
        <v>2377</v>
      </c>
      <c r="J130" t="s">
        <v>2172</v>
      </c>
      <c r="K130" t="s">
        <v>74</v>
      </c>
      <c r="L130" t="s">
        <v>74</v>
      </c>
      <c r="M130" t="s">
        <v>78</v>
      </c>
      <c r="N130" t="s">
        <v>79</v>
      </c>
      <c r="O130" t="s">
        <v>74</v>
      </c>
      <c r="P130" t="s">
        <v>74</v>
      </c>
      <c r="Q130" t="s">
        <v>74</v>
      </c>
      <c r="R130" t="s">
        <v>74</v>
      </c>
      <c r="S130" t="s">
        <v>74</v>
      </c>
      <c r="T130" t="s">
        <v>74</v>
      </c>
      <c r="U130" t="s">
        <v>2378</v>
      </c>
      <c r="V130" t="s">
        <v>2379</v>
      </c>
      <c r="W130" t="s">
        <v>2380</v>
      </c>
      <c r="X130" t="s">
        <v>2381</v>
      </c>
      <c r="Y130" t="s">
        <v>2382</v>
      </c>
      <c r="Z130" t="s">
        <v>2383</v>
      </c>
      <c r="AA130" t="s">
        <v>2384</v>
      </c>
      <c r="AB130" t="s">
        <v>2385</v>
      </c>
      <c r="AC130" t="s">
        <v>2386</v>
      </c>
      <c r="AD130" t="s">
        <v>2387</v>
      </c>
      <c r="AE130" t="s">
        <v>2388</v>
      </c>
      <c r="AF130" t="s">
        <v>74</v>
      </c>
      <c r="AG130">
        <v>75</v>
      </c>
      <c r="AH130">
        <v>64</v>
      </c>
      <c r="AI130">
        <v>81</v>
      </c>
      <c r="AJ130">
        <v>2</v>
      </c>
      <c r="AK130">
        <v>43</v>
      </c>
      <c r="AL130" t="s">
        <v>1552</v>
      </c>
      <c r="AM130" t="s">
        <v>1553</v>
      </c>
      <c r="AN130" t="s">
        <v>1554</v>
      </c>
      <c r="AO130" t="s">
        <v>2181</v>
      </c>
      <c r="AP130" t="s">
        <v>2182</v>
      </c>
      <c r="AQ130" t="s">
        <v>74</v>
      </c>
      <c r="AR130" t="s">
        <v>2183</v>
      </c>
      <c r="AS130" t="s">
        <v>2184</v>
      </c>
      <c r="AT130" t="s">
        <v>74</v>
      </c>
      <c r="AU130">
        <v>2008</v>
      </c>
      <c r="AV130">
        <v>8</v>
      </c>
      <c r="AW130">
        <v>16</v>
      </c>
      <c r="AX130" t="s">
        <v>74</v>
      </c>
      <c r="AY130" t="s">
        <v>74</v>
      </c>
      <c r="AZ130" t="s">
        <v>74</v>
      </c>
      <c r="BA130" t="s">
        <v>74</v>
      </c>
      <c r="BB130">
        <v>4855</v>
      </c>
      <c r="BC130">
        <v>4864</v>
      </c>
      <c r="BD130" t="s">
        <v>74</v>
      </c>
      <c r="BE130" t="s">
        <v>2389</v>
      </c>
      <c r="BF130" t="str">
        <f>HYPERLINK("http://dx.doi.org/10.5194/acp-8-4855-2008","http://dx.doi.org/10.5194/acp-8-4855-2008")</f>
        <v>http://dx.doi.org/10.5194/acp-8-4855-2008</v>
      </c>
      <c r="BG130" t="s">
        <v>74</v>
      </c>
      <c r="BH130" t="s">
        <v>74</v>
      </c>
      <c r="BI130">
        <v>10</v>
      </c>
      <c r="BJ130" t="s">
        <v>2186</v>
      </c>
      <c r="BK130" t="s">
        <v>97</v>
      </c>
      <c r="BL130" t="s">
        <v>2187</v>
      </c>
      <c r="BM130" t="s">
        <v>2373</v>
      </c>
      <c r="BN130" t="s">
        <v>74</v>
      </c>
      <c r="BO130" t="s">
        <v>1581</v>
      </c>
      <c r="BP130" t="s">
        <v>74</v>
      </c>
      <c r="BQ130" t="s">
        <v>74</v>
      </c>
      <c r="BR130" t="s">
        <v>100</v>
      </c>
      <c r="BS130" t="s">
        <v>2390</v>
      </c>
      <c r="BT130" t="str">
        <f>HYPERLINK("https%3A%2F%2Fwww.webofscience.com%2Fwos%2Fwoscc%2Ffull-record%2FWOS:000258863900025","View Full Record in Web of Science")</f>
        <v>View Full Record in Web of Science</v>
      </c>
    </row>
    <row r="131" spans="1:72" x14ac:dyDescent="0.15">
      <c r="A131" t="s">
        <v>72</v>
      </c>
      <c r="B131" t="s">
        <v>2391</v>
      </c>
      <c r="C131" t="s">
        <v>74</v>
      </c>
      <c r="D131" t="s">
        <v>74</v>
      </c>
      <c r="E131" t="s">
        <v>74</v>
      </c>
      <c r="F131" t="s">
        <v>2392</v>
      </c>
      <c r="G131" t="s">
        <v>74</v>
      </c>
      <c r="H131" t="s">
        <v>74</v>
      </c>
      <c r="I131" t="s">
        <v>2393</v>
      </c>
      <c r="J131" t="s">
        <v>2172</v>
      </c>
      <c r="K131" t="s">
        <v>74</v>
      </c>
      <c r="L131" t="s">
        <v>74</v>
      </c>
      <c r="M131" t="s">
        <v>78</v>
      </c>
      <c r="N131" t="s">
        <v>79</v>
      </c>
      <c r="O131" t="s">
        <v>74</v>
      </c>
      <c r="P131" t="s">
        <v>74</v>
      </c>
      <c r="Q131" t="s">
        <v>74</v>
      </c>
      <c r="R131" t="s">
        <v>74</v>
      </c>
      <c r="S131" t="s">
        <v>74</v>
      </c>
      <c r="T131" t="s">
        <v>74</v>
      </c>
      <c r="U131" t="s">
        <v>2394</v>
      </c>
      <c r="V131" t="s">
        <v>2395</v>
      </c>
      <c r="W131" t="s">
        <v>2396</v>
      </c>
      <c r="X131" t="s">
        <v>2397</v>
      </c>
      <c r="Y131" t="s">
        <v>2398</v>
      </c>
      <c r="Z131" t="s">
        <v>2399</v>
      </c>
      <c r="AA131" t="s">
        <v>2400</v>
      </c>
      <c r="AB131" t="s">
        <v>2401</v>
      </c>
      <c r="AC131" t="s">
        <v>2402</v>
      </c>
      <c r="AD131" t="s">
        <v>2403</v>
      </c>
      <c r="AE131" t="s">
        <v>2404</v>
      </c>
      <c r="AF131" t="s">
        <v>74</v>
      </c>
      <c r="AG131">
        <v>50</v>
      </c>
      <c r="AH131">
        <v>5</v>
      </c>
      <c r="AI131">
        <v>5</v>
      </c>
      <c r="AJ131">
        <v>0</v>
      </c>
      <c r="AK131">
        <v>5</v>
      </c>
      <c r="AL131" t="s">
        <v>1552</v>
      </c>
      <c r="AM131" t="s">
        <v>1553</v>
      </c>
      <c r="AN131" t="s">
        <v>1554</v>
      </c>
      <c r="AO131" t="s">
        <v>2181</v>
      </c>
      <c r="AP131" t="s">
        <v>2182</v>
      </c>
      <c r="AQ131" t="s">
        <v>74</v>
      </c>
      <c r="AR131" t="s">
        <v>2183</v>
      </c>
      <c r="AS131" t="s">
        <v>2184</v>
      </c>
      <c r="AT131" t="s">
        <v>74</v>
      </c>
      <c r="AU131">
        <v>2008</v>
      </c>
      <c r="AV131">
        <v>8</v>
      </c>
      <c r="AW131">
        <v>17</v>
      </c>
      <c r="AX131" t="s">
        <v>74</v>
      </c>
      <c r="AY131" t="s">
        <v>74</v>
      </c>
      <c r="AZ131" t="s">
        <v>74</v>
      </c>
      <c r="BA131" t="s">
        <v>74</v>
      </c>
      <c r="BB131">
        <v>5339</v>
      </c>
      <c r="BC131">
        <v>5352</v>
      </c>
      <c r="BD131" t="s">
        <v>74</v>
      </c>
      <c r="BE131" t="s">
        <v>2405</v>
      </c>
      <c r="BF131" t="str">
        <f>HYPERLINK("http://dx.doi.org/10.5194/acp-8-5339-2008","http://dx.doi.org/10.5194/acp-8-5339-2008")</f>
        <v>http://dx.doi.org/10.5194/acp-8-5339-2008</v>
      </c>
      <c r="BG131" t="s">
        <v>74</v>
      </c>
      <c r="BH131" t="s">
        <v>74</v>
      </c>
      <c r="BI131">
        <v>14</v>
      </c>
      <c r="BJ131" t="s">
        <v>2186</v>
      </c>
      <c r="BK131" t="s">
        <v>97</v>
      </c>
      <c r="BL131" t="s">
        <v>2187</v>
      </c>
      <c r="BM131" t="s">
        <v>2406</v>
      </c>
      <c r="BN131" t="s">
        <v>74</v>
      </c>
      <c r="BO131" t="s">
        <v>1581</v>
      </c>
      <c r="BP131" t="s">
        <v>74</v>
      </c>
      <c r="BQ131" t="s">
        <v>74</v>
      </c>
      <c r="BR131" t="s">
        <v>100</v>
      </c>
      <c r="BS131" t="s">
        <v>2407</v>
      </c>
      <c r="BT131" t="str">
        <f>HYPERLINK("https%3A%2F%2Fwww.webofscience.com%2Fwos%2Fwoscc%2Ffull-record%2FWOS:000259221400018","View Full Record in Web of Science")</f>
        <v>View Full Record in Web of Science</v>
      </c>
    </row>
    <row r="132" spans="1:72" x14ac:dyDescent="0.15">
      <c r="A132" t="s">
        <v>72</v>
      </c>
      <c r="B132" t="s">
        <v>2408</v>
      </c>
      <c r="C132" t="s">
        <v>74</v>
      </c>
      <c r="D132" t="s">
        <v>74</v>
      </c>
      <c r="E132" t="s">
        <v>74</v>
      </c>
      <c r="F132" t="s">
        <v>2409</v>
      </c>
      <c r="G132" t="s">
        <v>74</v>
      </c>
      <c r="H132" t="s">
        <v>74</v>
      </c>
      <c r="I132" t="s">
        <v>2410</v>
      </c>
      <c r="J132" t="s">
        <v>2172</v>
      </c>
      <c r="K132" t="s">
        <v>74</v>
      </c>
      <c r="L132" t="s">
        <v>74</v>
      </c>
      <c r="M132" t="s">
        <v>78</v>
      </c>
      <c r="N132" t="s">
        <v>79</v>
      </c>
      <c r="O132" t="s">
        <v>74</v>
      </c>
      <c r="P132" t="s">
        <v>74</v>
      </c>
      <c r="Q132" t="s">
        <v>74</v>
      </c>
      <c r="R132" t="s">
        <v>74</v>
      </c>
      <c r="S132" t="s">
        <v>74</v>
      </c>
      <c r="T132" t="s">
        <v>74</v>
      </c>
      <c r="U132" t="s">
        <v>2411</v>
      </c>
      <c r="V132" t="s">
        <v>2412</v>
      </c>
      <c r="W132" t="s">
        <v>2413</v>
      </c>
      <c r="X132" t="s">
        <v>440</v>
      </c>
      <c r="Y132" t="s">
        <v>2414</v>
      </c>
      <c r="Z132" t="s">
        <v>2415</v>
      </c>
      <c r="AA132" t="s">
        <v>2416</v>
      </c>
      <c r="AB132" t="s">
        <v>2417</v>
      </c>
      <c r="AC132" t="s">
        <v>2418</v>
      </c>
      <c r="AD132" t="s">
        <v>242</v>
      </c>
      <c r="AE132" t="s">
        <v>74</v>
      </c>
      <c r="AF132" t="s">
        <v>74</v>
      </c>
      <c r="AG132">
        <v>39</v>
      </c>
      <c r="AH132">
        <v>61</v>
      </c>
      <c r="AI132">
        <v>70</v>
      </c>
      <c r="AJ132">
        <v>0</v>
      </c>
      <c r="AK132">
        <v>13</v>
      </c>
      <c r="AL132" t="s">
        <v>1552</v>
      </c>
      <c r="AM132" t="s">
        <v>1553</v>
      </c>
      <c r="AN132" t="s">
        <v>1554</v>
      </c>
      <c r="AO132" t="s">
        <v>2181</v>
      </c>
      <c r="AP132" t="s">
        <v>2182</v>
      </c>
      <c r="AQ132" t="s">
        <v>74</v>
      </c>
      <c r="AR132" t="s">
        <v>2183</v>
      </c>
      <c r="AS132" t="s">
        <v>2184</v>
      </c>
      <c r="AT132" t="s">
        <v>74</v>
      </c>
      <c r="AU132">
        <v>2008</v>
      </c>
      <c r="AV132">
        <v>8</v>
      </c>
      <c r="AW132">
        <v>18</v>
      </c>
      <c r="AX132" t="s">
        <v>74</v>
      </c>
      <c r="AY132" t="s">
        <v>74</v>
      </c>
      <c r="AZ132" t="s">
        <v>74</v>
      </c>
      <c r="BA132" t="s">
        <v>74</v>
      </c>
      <c r="BB132">
        <v>5627</v>
      </c>
      <c r="BC132">
        <v>5634</v>
      </c>
      <c r="BD132" t="s">
        <v>74</v>
      </c>
      <c r="BE132" t="s">
        <v>2419</v>
      </c>
      <c r="BF132" t="str">
        <f>HYPERLINK("http://dx.doi.org/10.5194/acp-8-5627-2008","http://dx.doi.org/10.5194/acp-8-5627-2008")</f>
        <v>http://dx.doi.org/10.5194/acp-8-5627-2008</v>
      </c>
      <c r="BG132" t="s">
        <v>74</v>
      </c>
      <c r="BH132" t="s">
        <v>74</v>
      </c>
      <c r="BI132">
        <v>8</v>
      </c>
      <c r="BJ132" t="s">
        <v>2186</v>
      </c>
      <c r="BK132" t="s">
        <v>97</v>
      </c>
      <c r="BL132" t="s">
        <v>2187</v>
      </c>
      <c r="BM132" t="s">
        <v>2420</v>
      </c>
      <c r="BN132" t="s">
        <v>74</v>
      </c>
      <c r="BO132" t="s">
        <v>1618</v>
      </c>
      <c r="BP132" t="s">
        <v>74</v>
      </c>
      <c r="BQ132" t="s">
        <v>74</v>
      </c>
      <c r="BR132" t="s">
        <v>100</v>
      </c>
      <c r="BS132" t="s">
        <v>2421</v>
      </c>
      <c r="BT132" t="str">
        <f>HYPERLINK("https%3A%2F%2Fwww.webofscience.com%2Fwos%2Fwoscc%2Ffull-record%2FWOS:000259647500009","View Full Record in Web of Science")</f>
        <v>View Full Record in Web of Science</v>
      </c>
    </row>
    <row r="133" spans="1:72" x14ac:dyDescent="0.15">
      <c r="A133" t="s">
        <v>72</v>
      </c>
      <c r="B133" t="s">
        <v>2422</v>
      </c>
      <c r="C133" t="s">
        <v>74</v>
      </c>
      <c r="D133" t="s">
        <v>74</v>
      </c>
      <c r="E133" t="s">
        <v>74</v>
      </c>
      <c r="F133" t="s">
        <v>2423</v>
      </c>
      <c r="G133" t="s">
        <v>74</v>
      </c>
      <c r="H133" t="s">
        <v>74</v>
      </c>
      <c r="I133" t="s">
        <v>2424</v>
      </c>
      <c r="J133" t="s">
        <v>2172</v>
      </c>
      <c r="K133" t="s">
        <v>74</v>
      </c>
      <c r="L133" t="s">
        <v>74</v>
      </c>
      <c r="M133" t="s">
        <v>78</v>
      </c>
      <c r="N133" t="s">
        <v>79</v>
      </c>
      <c r="O133" t="s">
        <v>74</v>
      </c>
      <c r="P133" t="s">
        <v>74</v>
      </c>
      <c r="Q133" t="s">
        <v>74</v>
      </c>
      <c r="R133" t="s">
        <v>74</v>
      </c>
      <c r="S133" t="s">
        <v>74</v>
      </c>
      <c r="T133" t="s">
        <v>74</v>
      </c>
      <c r="U133" t="s">
        <v>2425</v>
      </c>
      <c r="V133" t="s">
        <v>2426</v>
      </c>
      <c r="W133" t="s">
        <v>2427</v>
      </c>
      <c r="X133" t="s">
        <v>2428</v>
      </c>
      <c r="Y133" t="s">
        <v>2429</v>
      </c>
      <c r="Z133" t="s">
        <v>2430</v>
      </c>
      <c r="AA133" t="s">
        <v>2431</v>
      </c>
      <c r="AB133" t="s">
        <v>2432</v>
      </c>
      <c r="AC133" t="s">
        <v>2433</v>
      </c>
      <c r="AD133" t="s">
        <v>2434</v>
      </c>
      <c r="AE133" t="s">
        <v>2435</v>
      </c>
      <c r="AF133" t="s">
        <v>74</v>
      </c>
      <c r="AG133">
        <v>38</v>
      </c>
      <c r="AH133">
        <v>21</v>
      </c>
      <c r="AI133">
        <v>23</v>
      </c>
      <c r="AJ133">
        <v>0</v>
      </c>
      <c r="AK133">
        <v>7</v>
      </c>
      <c r="AL133" t="s">
        <v>1552</v>
      </c>
      <c r="AM133" t="s">
        <v>1553</v>
      </c>
      <c r="AN133" t="s">
        <v>1554</v>
      </c>
      <c r="AO133" t="s">
        <v>2181</v>
      </c>
      <c r="AP133" t="s">
        <v>2182</v>
      </c>
      <c r="AQ133" t="s">
        <v>74</v>
      </c>
      <c r="AR133" t="s">
        <v>2183</v>
      </c>
      <c r="AS133" t="s">
        <v>2184</v>
      </c>
      <c r="AT133" t="s">
        <v>74</v>
      </c>
      <c r="AU133">
        <v>2008</v>
      </c>
      <c r="AV133">
        <v>8</v>
      </c>
      <c r="AW133">
        <v>19</v>
      </c>
      <c r="AX133" t="s">
        <v>74</v>
      </c>
      <c r="AY133" t="s">
        <v>74</v>
      </c>
      <c r="AZ133" t="s">
        <v>74</v>
      </c>
      <c r="BA133" t="s">
        <v>74</v>
      </c>
      <c r="BB133">
        <v>5787</v>
      </c>
      <c r="BC133">
        <v>5800</v>
      </c>
      <c r="BD133" t="s">
        <v>74</v>
      </c>
      <c r="BE133" t="s">
        <v>2436</v>
      </c>
      <c r="BF133" t="str">
        <f>HYPERLINK("http://dx.doi.org/10.5194/acp-8-5787-2008","http://dx.doi.org/10.5194/acp-8-5787-2008")</f>
        <v>http://dx.doi.org/10.5194/acp-8-5787-2008</v>
      </c>
      <c r="BG133" t="s">
        <v>74</v>
      </c>
      <c r="BH133" t="s">
        <v>74</v>
      </c>
      <c r="BI133">
        <v>14</v>
      </c>
      <c r="BJ133" t="s">
        <v>2186</v>
      </c>
      <c r="BK133" t="s">
        <v>97</v>
      </c>
      <c r="BL133" t="s">
        <v>2187</v>
      </c>
      <c r="BM133" t="s">
        <v>2437</v>
      </c>
      <c r="BN133" t="s">
        <v>74</v>
      </c>
      <c r="BO133" t="s">
        <v>1581</v>
      </c>
      <c r="BP133" t="s">
        <v>74</v>
      </c>
      <c r="BQ133" t="s">
        <v>74</v>
      </c>
      <c r="BR133" t="s">
        <v>100</v>
      </c>
      <c r="BS133" t="s">
        <v>2438</v>
      </c>
      <c r="BT133" t="str">
        <f>HYPERLINK("https%3A%2F%2Fwww.webofscience.com%2Fwos%2Fwoscc%2Ffull-record%2FWOS:000260558200004","View Full Record in Web of Science")</f>
        <v>View Full Record in Web of Science</v>
      </c>
    </row>
    <row r="134" spans="1:72" x14ac:dyDescent="0.15">
      <c r="A134" t="s">
        <v>72</v>
      </c>
      <c r="B134" t="s">
        <v>2439</v>
      </c>
      <c r="C134" t="s">
        <v>74</v>
      </c>
      <c r="D134" t="s">
        <v>74</v>
      </c>
      <c r="E134" t="s">
        <v>74</v>
      </c>
      <c r="F134" t="s">
        <v>2440</v>
      </c>
      <c r="G134" t="s">
        <v>74</v>
      </c>
      <c r="H134" t="s">
        <v>74</v>
      </c>
      <c r="I134" t="s">
        <v>2441</v>
      </c>
      <c r="J134" t="s">
        <v>2172</v>
      </c>
      <c r="K134" t="s">
        <v>74</v>
      </c>
      <c r="L134" t="s">
        <v>74</v>
      </c>
      <c r="M134" t="s">
        <v>78</v>
      </c>
      <c r="N134" t="s">
        <v>79</v>
      </c>
      <c r="O134" t="s">
        <v>74</v>
      </c>
      <c r="P134" t="s">
        <v>74</v>
      </c>
      <c r="Q134" t="s">
        <v>74</v>
      </c>
      <c r="R134" t="s">
        <v>74</v>
      </c>
      <c r="S134" t="s">
        <v>74</v>
      </c>
      <c r="T134" t="s">
        <v>74</v>
      </c>
      <c r="U134" t="s">
        <v>2442</v>
      </c>
      <c r="V134" t="s">
        <v>2443</v>
      </c>
      <c r="W134" t="s">
        <v>2444</v>
      </c>
      <c r="X134" t="s">
        <v>2445</v>
      </c>
      <c r="Y134" t="s">
        <v>2446</v>
      </c>
      <c r="Z134" t="s">
        <v>2447</v>
      </c>
      <c r="AA134" t="s">
        <v>2448</v>
      </c>
      <c r="AB134" t="s">
        <v>2449</v>
      </c>
      <c r="AC134" t="s">
        <v>74</v>
      </c>
      <c r="AD134" t="s">
        <v>74</v>
      </c>
      <c r="AE134" t="s">
        <v>74</v>
      </c>
      <c r="AF134" t="s">
        <v>74</v>
      </c>
      <c r="AG134">
        <v>31</v>
      </c>
      <c r="AH134">
        <v>26</v>
      </c>
      <c r="AI134">
        <v>32</v>
      </c>
      <c r="AJ134">
        <v>0</v>
      </c>
      <c r="AK134">
        <v>13</v>
      </c>
      <c r="AL134" t="s">
        <v>1552</v>
      </c>
      <c r="AM134" t="s">
        <v>1553</v>
      </c>
      <c r="AN134" t="s">
        <v>1554</v>
      </c>
      <c r="AO134" t="s">
        <v>2181</v>
      </c>
      <c r="AP134" t="s">
        <v>2182</v>
      </c>
      <c r="AQ134" t="s">
        <v>74</v>
      </c>
      <c r="AR134" t="s">
        <v>2183</v>
      </c>
      <c r="AS134" t="s">
        <v>2184</v>
      </c>
      <c r="AT134" t="s">
        <v>74</v>
      </c>
      <c r="AU134">
        <v>2008</v>
      </c>
      <c r="AV134">
        <v>8</v>
      </c>
      <c r="AW134">
        <v>23</v>
      </c>
      <c r="AX134" t="s">
        <v>74</v>
      </c>
      <c r="AY134" t="s">
        <v>74</v>
      </c>
      <c r="AZ134" t="s">
        <v>74</v>
      </c>
      <c r="BA134" t="s">
        <v>74</v>
      </c>
      <c r="BB134">
        <v>7317</v>
      </c>
      <c r="BC134">
        <v>7324</v>
      </c>
      <c r="BD134" t="s">
        <v>74</v>
      </c>
      <c r="BE134" t="s">
        <v>2450</v>
      </c>
      <c r="BF134" t="str">
        <f>HYPERLINK("http://dx.doi.org/10.5194/acp-8-7317-2008","http://dx.doi.org/10.5194/acp-8-7317-2008")</f>
        <v>http://dx.doi.org/10.5194/acp-8-7317-2008</v>
      </c>
      <c r="BG134" t="s">
        <v>74</v>
      </c>
      <c r="BH134" t="s">
        <v>74</v>
      </c>
      <c r="BI134">
        <v>8</v>
      </c>
      <c r="BJ134" t="s">
        <v>2186</v>
      </c>
      <c r="BK134" t="s">
        <v>97</v>
      </c>
      <c r="BL134" t="s">
        <v>2187</v>
      </c>
      <c r="BM134" t="s">
        <v>2451</v>
      </c>
      <c r="BN134" t="s">
        <v>74</v>
      </c>
      <c r="BO134" t="s">
        <v>1618</v>
      </c>
      <c r="BP134" t="s">
        <v>74</v>
      </c>
      <c r="BQ134" t="s">
        <v>74</v>
      </c>
      <c r="BR134" t="s">
        <v>100</v>
      </c>
      <c r="BS134" t="s">
        <v>2452</v>
      </c>
      <c r="BT134" t="str">
        <f>HYPERLINK("https%3A%2F%2Fwww.webofscience.com%2Fwos%2Fwoscc%2Ffull-record%2FWOS:000262413000030","View Full Record in Web of Science")</f>
        <v>View Full Record in Web of Science</v>
      </c>
    </row>
    <row r="135" spans="1:72" x14ac:dyDescent="0.15">
      <c r="A135" t="s">
        <v>72</v>
      </c>
      <c r="B135" t="s">
        <v>2453</v>
      </c>
      <c r="C135" t="s">
        <v>74</v>
      </c>
      <c r="D135" t="s">
        <v>74</v>
      </c>
      <c r="E135" t="s">
        <v>74</v>
      </c>
      <c r="F135" t="s">
        <v>2454</v>
      </c>
      <c r="G135" t="s">
        <v>74</v>
      </c>
      <c r="H135" t="s">
        <v>74</v>
      </c>
      <c r="I135" t="s">
        <v>2455</v>
      </c>
      <c r="J135" t="s">
        <v>2172</v>
      </c>
      <c r="K135" t="s">
        <v>74</v>
      </c>
      <c r="L135" t="s">
        <v>74</v>
      </c>
      <c r="M135" t="s">
        <v>78</v>
      </c>
      <c r="N135" t="s">
        <v>79</v>
      </c>
      <c r="O135" t="s">
        <v>74</v>
      </c>
      <c r="P135" t="s">
        <v>74</v>
      </c>
      <c r="Q135" t="s">
        <v>74</v>
      </c>
      <c r="R135" t="s">
        <v>74</v>
      </c>
      <c r="S135" t="s">
        <v>74</v>
      </c>
      <c r="T135" t="s">
        <v>74</v>
      </c>
      <c r="U135" t="s">
        <v>2456</v>
      </c>
      <c r="V135" t="s">
        <v>2457</v>
      </c>
      <c r="W135" t="s">
        <v>2458</v>
      </c>
      <c r="X135" t="s">
        <v>2459</v>
      </c>
      <c r="Y135" t="s">
        <v>2460</v>
      </c>
      <c r="Z135" t="s">
        <v>2461</v>
      </c>
      <c r="AA135" t="s">
        <v>74</v>
      </c>
      <c r="AB135" t="s">
        <v>74</v>
      </c>
      <c r="AC135" t="s">
        <v>2462</v>
      </c>
      <c r="AD135" t="s">
        <v>2463</v>
      </c>
      <c r="AE135" t="s">
        <v>2464</v>
      </c>
      <c r="AF135" t="s">
        <v>74</v>
      </c>
      <c r="AG135">
        <v>96</v>
      </c>
      <c r="AH135">
        <v>16</v>
      </c>
      <c r="AI135">
        <v>20</v>
      </c>
      <c r="AJ135">
        <v>0</v>
      </c>
      <c r="AK135">
        <v>19</v>
      </c>
      <c r="AL135" t="s">
        <v>1552</v>
      </c>
      <c r="AM135" t="s">
        <v>1553</v>
      </c>
      <c r="AN135" t="s">
        <v>1554</v>
      </c>
      <c r="AO135" t="s">
        <v>2181</v>
      </c>
      <c r="AP135" t="s">
        <v>2182</v>
      </c>
      <c r="AQ135" t="s">
        <v>74</v>
      </c>
      <c r="AR135" t="s">
        <v>2183</v>
      </c>
      <c r="AS135" t="s">
        <v>2184</v>
      </c>
      <c r="AT135" t="s">
        <v>74</v>
      </c>
      <c r="AU135">
        <v>2008</v>
      </c>
      <c r="AV135">
        <v>8</v>
      </c>
      <c r="AW135">
        <v>24</v>
      </c>
      <c r="AX135" t="s">
        <v>74</v>
      </c>
      <c r="AY135" t="s">
        <v>74</v>
      </c>
      <c r="AZ135" t="s">
        <v>74</v>
      </c>
      <c r="BA135" t="s">
        <v>74</v>
      </c>
      <c r="BB135">
        <v>7533</v>
      </c>
      <c r="BC135">
        <v>7542</v>
      </c>
      <c r="BD135" t="s">
        <v>74</v>
      </c>
      <c r="BE135" t="s">
        <v>2465</v>
      </c>
      <c r="BF135" t="str">
        <f>HYPERLINK("http://dx.doi.org/10.5194/acp-8-7533-2008","http://dx.doi.org/10.5194/acp-8-7533-2008")</f>
        <v>http://dx.doi.org/10.5194/acp-8-7533-2008</v>
      </c>
      <c r="BG135" t="s">
        <v>74</v>
      </c>
      <c r="BH135" t="s">
        <v>74</v>
      </c>
      <c r="BI135">
        <v>10</v>
      </c>
      <c r="BJ135" t="s">
        <v>2186</v>
      </c>
      <c r="BK135" t="s">
        <v>97</v>
      </c>
      <c r="BL135" t="s">
        <v>2187</v>
      </c>
      <c r="BM135" t="s">
        <v>2466</v>
      </c>
      <c r="BN135" t="s">
        <v>74</v>
      </c>
      <c r="BO135" t="s">
        <v>1581</v>
      </c>
      <c r="BP135" t="s">
        <v>74</v>
      </c>
      <c r="BQ135" t="s">
        <v>74</v>
      </c>
      <c r="BR135" t="s">
        <v>100</v>
      </c>
      <c r="BS135" t="s">
        <v>2467</v>
      </c>
      <c r="BT135" t="str">
        <f>HYPERLINK("https%3A%2F%2Fwww.webofscience.com%2Fwos%2Fwoscc%2Ffull-record%2FWOS:000262411800016","View Full Record in Web of Science")</f>
        <v>View Full Record in Web of Science</v>
      </c>
    </row>
    <row r="136" spans="1:72" x14ac:dyDescent="0.15">
      <c r="A136" t="s">
        <v>72</v>
      </c>
      <c r="B136" t="s">
        <v>2468</v>
      </c>
      <c r="C136" t="s">
        <v>74</v>
      </c>
      <c r="D136" t="s">
        <v>74</v>
      </c>
      <c r="E136" t="s">
        <v>74</v>
      </c>
      <c r="F136" t="s">
        <v>2469</v>
      </c>
      <c r="G136" t="s">
        <v>74</v>
      </c>
      <c r="H136" t="s">
        <v>74</v>
      </c>
      <c r="I136" t="s">
        <v>2470</v>
      </c>
      <c r="J136" t="s">
        <v>2172</v>
      </c>
      <c r="K136" t="s">
        <v>74</v>
      </c>
      <c r="L136" t="s">
        <v>74</v>
      </c>
      <c r="M136" t="s">
        <v>78</v>
      </c>
      <c r="N136" t="s">
        <v>79</v>
      </c>
      <c r="O136" t="s">
        <v>74</v>
      </c>
      <c r="P136" t="s">
        <v>74</v>
      </c>
      <c r="Q136" t="s">
        <v>74</v>
      </c>
      <c r="R136" t="s">
        <v>74</v>
      </c>
      <c r="S136" t="s">
        <v>74</v>
      </c>
      <c r="T136" t="s">
        <v>74</v>
      </c>
      <c r="U136" t="s">
        <v>2471</v>
      </c>
      <c r="V136" t="s">
        <v>2472</v>
      </c>
      <c r="W136" t="s">
        <v>2473</v>
      </c>
      <c r="X136" t="s">
        <v>2474</v>
      </c>
      <c r="Y136" t="s">
        <v>2475</v>
      </c>
      <c r="Z136" t="s">
        <v>2476</v>
      </c>
      <c r="AA136" t="s">
        <v>2477</v>
      </c>
      <c r="AB136" t="s">
        <v>2478</v>
      </c>
      <c r="AC136" t="s">
        <v>2479</v>
      </c>
      <c r="AD136" t="s">
        <v>2479</v>
      </c>
      <c r="AE136" t="s">
        <v>2480</v>
      </c>
      <c r="AF136" t="s">
        <v>74</v>
      </c>
      <c r="AG136">
        <v>81</v>
      </c>
      <c r="AH136">
        <v>14</v>
      </c>
      <c r="AI136">
        <v>14</v>
      </c>
      <c r="AJ136">
        <v>0</v>
      </c>
      <c r="AK136">
        <v>8</v>
      </c>
      <c r="AL136" t="s">
        <v>2481</v>
      </c>
      <c r="AM136" t="s">
        <v>2482</v>
      </c>
      <c r="AN136" t="s">
        <v>2483</v>
      </c>
      <c r="AO136" t="s">
        <v>2181</v>
      </c>
      <c r="AP136" t="s">
        <v>74</v>
      </c>
      <c r="AQ136" t="s">
        <v>74</v>
      </c>
      <c r="AR136" t="s">
        <v>2183</v>
      </c>
      <c r="AS136" t="s">
        <v>2184</v>
      </c>
      <c r="AT136" t="s">
        <v>74</v>
      </c>
      <c r="AU136">
        <v>2008</v>
      </c>
      <c r="AV136">
        <v>8</v>
      </c>
      <c r="AW136">
        <v>24</v>
      </c>
      <c r="AX136" t="s">
        <v>74</v>
      </c>
      <c r="AY136" t="s">
        <v>74</v>
      </c>
      <c r="AZ136" t="s">
        <v>74</v>
      </c>
      <c r="BA136" t="s">
        <v>74</v>
      </c>
      <c r="BB136">
        <v>7557</v>
      </c>
      <c r="BC136">
        <v>7570</v>
      </c>
      <c r="BD136" t="s">
        <v>74</v>
      </c>
      <c r="BE136" t="s">
        <v>2484</v>
      </c>
      <c r="BF136" t="str">
        <f>HYPERLINK("http://dx.doi.org/10.5194/acp-8-7557-2008","http://dx.doi.org/10.5194/acp-8-7557-2008")</f>
        <v>http://dx.doi.org/10.5194/acp-8-7557-2008</v>
      </c>
      <c r="BG136" t="s">
        <v>74</v>
      </c>
      <c r="BH136" t="s">
        <v>74</v>
      </c>
      <c r="BI136">
        <v>14</v>
      </c>
      <c r="BJ136" t="s">
        <v>2186</v>
      </c>
      <c r="BK136" t="s">
        <v>97</v>
      </c>
      <c r="BL136" t="s">
        <v>2187</v>
      </c>
      <c r="BM136" t="s">
        <v>2466</v>
      </c>
      <c r="BN136" t="s">
        <v>74</v>
      </c>
      <c r="BO136" t="s">
        <v>1618</v>
      </c>
      <c r="BP136" t="s">
        <v>74</v>
      </c>
      <c r="BQ136" t="s">
        <v>74</v>
      </c>
      <c r="BR136" t="s">
        <v>100</v>
      </c>
      <c r="BS136" t="s">
        <v>2485</v>
      </c>
      <c r="BT136" t="str">
        <f>HYPERLINK("https%3A%2F%2Fwww.webofscience.com%2Fwos%2Fwoscc%2Ffull-record%2FWOS:000262411800018","View Full Record in Web of Science")</f>
        <v>View Full Record in Web of Science</v>
      </c>
    </row>
    <row r="137" spans="1:72" x14ac:dyDescent="0.15">
      <c r="A137" t="s">
        <v>72</v>
      </c>
      <c r="B137" t="s">
        <v>2486</v>
      </c>
      <c r="C137" t="s">
        <v>74</v>
      </c>
      <c r="D137" t="s">
        <v>74</v>
      </c>
      <c r="E137" t="s">
        <v>74</v>
      </c>
      <c r="F137" t="s">
        <v>2487</v>
      </c>
      <c r="G137" t="s">
        <v>74</v>
      </c>
      <c r="H137" t="s">
        <v>74</v>
      </c>
      <c r="I137" t="s">
        <v>2488</v>
      </c>
      <c r="J137" t="s">
        <v>2489</v>
      </c>
      <c r="K137" t="s">
        <v>74</v>
      </c>
      <c r="L137" t="s">
        <v>74</v>
      </c>
      <c r="M137" t="s">
        <v>2490</v>
      </c>
      <c r="N137" t="s">
        <v>79</v>
      </c>
      <c r="O137" t="s">
        <v>74</v>
      </c>
      <c r="P137" t="s">
        <v>74</v>
      </c>
      <c r="Q137" t="s">
        <v>74</v>
      </c>
      <c r="R137" t="s">
        <v>74</v>
      </c>
      <c r="S137" t="s">
        <v>74</v>
      </c>
      <c r="T137" t="s">
        <v>74</v>
      </c>
      <c r="U137" t="s">
        <v>74</v>
      </c>
      <c r="V137" t="s">
        <v>2491</v>
      </c>
      <c r="W137" t="s">
        <v>2492</v>
      </c>
      <c r="X137" t="s">
        <v>2493</v>
      </c>
      <c r="Y137" t="s">
        <v>2494</v>
      </c>
      <c r="Z137" t="s">
        <v>2495</v>
      </c>
      <c r="AA137" t="s">
        <v>74</v>
      </c>
      <c r="AB137" t="s">
        <v>74</v>
      </c>
      <c r="AC137" t="s">
        <v>74</v>
      </c>
      <c r="AD137" t="s">
        <v>74</v>
      </c>
      <c r="AE137" t="s">
        <v>74</v>
      </c>
      <c r="AF137" t="s">
        <v>74</v>
      </c>
      <c r="AG137">
        <v>16</v>
      </c>
      <c r="AH137">
        <v>0</v>
      </c>
      <c r="AI137">
        <v>0</v>
      </c>
      <c r="AJ137">
        <v>0</v>
      </c>
      <c r="AK137">
        <v>0</v>
      </c>
      <c r="AL137" t="s">
        <v>2496</v>
      </c>
      <c r="AM137" t="s">
        <v>2497</v>
      </c>
      <c r="AN137" t="s">
        <v>2498</v>
      </c>
      <c r="AO137" t="s">
        <v>2499</v>
      </c>
      <c r="AP137" t="s">
        <v>2500</v>
      </c>
      <c r="AQ137" t="s">
        <v>74</v>
      </c>
      <c r="AR137" t="s">
        <v>2501</v>
      </c>
      <c r="AS137" t="s">
        <v>2502</v>
      </c>
      <c r="AT137" t="s">
        <v>74</v>
      </c>
      <c r="AU137">
        <v>2008</v>
      </c>
      <c r="AV137">
        <v>86</v>
      </c>
      <c r="AW137">
        <v>2</v>
      </c>
      <c r="AX137" t="s">
        <v>74</v>
      </c>
      <c r="AY137" t="s">
        <v>74</v>
      </c>
      <c r="AZ137" t="s">
        <v>74</v>
      </c>
      <c r="BA137" t="s">
        <v>74</v>
      </c>
      <c r="BB137" t="s">
        <v>74</v>
      </c>
      <c r="BC137" t="s">
        <v>74</v>
      </c>
      <c r="BD137" t="s">
        <v>2503</v>
      </c>
      <c r="BE137" t="s">
        <v>2504</v>
      </c>
      <c r="BF137" t="str">
        <f>HYPERLINK("http://dx.doi.org/10.1478/C1A0802008","http://dx.doi.org/10.1478/C1A0802008")</f>
        <v>http://dx.doi.org/10.1478/C1A0802008</v>
      </c>
      <c r="BG137" t="s">
        <v>74</v>
      </c>
      <c r="BH137" t="s">
        <v>74</v>
      </c>
      <c r="BI137">
        <v>13</v>
      </c>
      <c r="BJ137" t="s">
        <v>684</v>
      </c>
      <c r="BK137" t="s">
        <v>2166</v>
      </c>
      <c r="BL137" t="s">
        <v>685</v>
      </c>
      <c r="BM137" t="s">
        <v>2505</v>
      </c>
      <c r="BN137" t="s">
        <v>74</v>
      </c>
      <c r="BO137" t="s">
        <v>74</v>
      </c>
      <c r="BP137" t="s">
        <v>74</v>
      </c>
      <c r="BQ137" t="s">
        <v>74</v>
      </c>
      <c r="BR137" t="s">
        <v>100</v>
      </c>
      <c r="BS137" t="s">
        <v>2506</v>
      </c>
      <c r="BT137" t="str">
        <f>HYPERLINK("https%3A%2F%2Fwww.webofscience.com%2Fwos%2Fwoscc%2Ffull-record%2FWOS:000216363000008","View Full Record in Web of Science")</f>
        <v>View Full Record in Web of Science</v>
      </c>
    </row>
    <row r="138" spans="1:72" x14ac:dyDescent="0.15">
      <c r="A138" t="s">
        <v>72</v>
      </c>
      <c r="B138" t="s">
        <v>2507</v>
      </c>
      <c r="C138" t="s">
        <v>74</v>
      </c>
      <c r="D138" t="s">
        <v>74</v>
      </c>
      <c r="E138" t="s">
        <v>74</v>
      </c>
      <c r="F138" t="s">
        <v>2508</v>
      </c>
      <c r="G138" t="s">
        <v>74</v>
      </c>
      <c r="H138" t="s">
        <v>74</v>
      </c>
      <c r="I138" t="s">
        <v>2509</v>
      </c>
      <c r="J138" t="s">
        <v>2510</v>
      </c>
      <c r="K138" t="s">
        <v>74</v>
      </c>
      <c r="L138" t="s">
        <v>74</v>
      </c>
      <c r="M138" t="s">
        <v>78</v>
      </c>
      <c r="N138" t="s">
        <v>79</v>
      </c>
      <c r="O138" t="s">
        <v>74</v>
      </c>
      <c r="P138" t="s">
        <v>74</v>
      </c>
      <c r="Q138" t="s">
        <v>74</v>
      </c>
      <c r="R138" t="s">
        <v>74</v>
      </c>
      <c r="S138" t="s">
        <v>74</v>
      </c>
      <c r="T138" t="s">
        <v>2511</v>
      </c>
      <c r="U138" t="s">
        <v>2512</v>
      </c>
      <c r="V138" t="s">
        <v>2513</v>
      </c>
      <c r="W138" t="s">
        <v>2514</v>
      </c>
      <c r="X138" t="s">
        <v>2515</v>
      </c>
      <c r="Y138" t="s">
        <v>2516</v>
      </c>
      <c r="Z138" t="s">
        <v>74</v>
      </c>
      <c r="AA138" t="s">
        <v>74</v>
      </c>
      <c r="AB138" t="s">
        <v>2517</v>
      </c>
      <c r="AC138" t="s">
        <v>74</v>
      </c>
      <c r="AD138" t="s">
        <v>74</v>
      </c>
      <c r="AE138" t="s">
        <v>74</v>
      </c>
      <c r="AF138" t="s">
        <v>74</v>
      </c>
      <c r="AG138">
        <v>57</v>
      </c>
      <c r="AH138">
        <v>1</v>
      </c>
      <c r="AI138">
        <v>2</v>
      </c>
      <c r="AJ138">
        <v>0</v>
      </c>
      <c r="AK138">
        <v>6</v>
      </c>
      <c r="AL138" t="s">
        <v>2518</v>
      </c>
      <c r="AM138" t="s">
        <v>1421</v>
      </c>
      <c r="AN138" t="s">
        <v>2519</v>
      </c>
      <c r="AO138" t="s">
        <v>2520</v>
      </c>
      <c r="AP138" t="s">
        <v>74</v>
      </c>
      <c r="AQ138" t="s">
        <v>74</v>
      </c>
      <c r="AR138" t="s">
        <v>2521</v>
      </c>
      <c r="AS138" t="s">
        <v>2522</v>
      </c>
      <c r="AT138" t="s">
        <v>74</v>
      </c>
      <c r="AU138">
        <v>2008</v>
      </c>
      <c r="AV138">
        <v>39</v>
      </c>
      <c r="AW138">
        <v>4</v>
      </c>
      <c r="AX138" t="s">
        <v>74</v>
      </c>
      <c r="AY138" t="s">
        <v>74</v>
      </c>
      <c r="AZ138" t="s">
        <v>74</v>
      </c>
      <c r="BA138" t="s">
        <v>74</v>
      </c>
      <c r="BB138">
        <v>389</v>
      </c>
      <c r="BC138">
        <v>408</v>
      </c>
      <c r="BD138" t="s">
        <v>2523</v>
      </c>
      <c r="BE138" t="s">
        <v>2524</v>
      </c>
      <c r="BF138" t="str">
        <f>HYPERLINK("http://dx.doi.org/10.1080/00049180802419245","http://dx.doi.org/10.1080/00049180802419245")</f>
        <v>http://dx.doi.org/10.1080/00049180802419245</v>
      </c>
      <c r="BG138" t="s">
        <v>74</v>
      </c>
      <c r="BH138" t="s">
        <v>74</v>
      </c>
      <c r="BI138">
        <v>20</v>
      </c>
      <c r="BJ138" t="s">
        <v>2525</v>
      </c>
      <c r="BK138" t="s">
        <v>2526</v>
      </c>
      <c r="BL138" t="s">
        <v>2525</v>
      </c>
      <c r="BM138" t="s">
        <v>2527</v>
      </c>
      <c r="BN138" t="s">
        <v>74</v>
      </c>
      <c r="BO138" t="s">
        <v>2528</v>
      </c>
      <c r="BP138" t="s">
        <v>74</v>
      </c>
      <c r="BQ138" t="s">
        <v>74</v>
      </c>
      <c r="BR138" t="s">
        <v>100</v>
      </c>
      <c r="BS138" t="s">
        <v>2529</v>
      </c>
      <c r="BT138" t="str">
        <f>HYPERLINK("https%3A%2F%2Fwww.webofscience.com%2Fwos%2Fwoscc%2Ffull-record%2FWOS:000261191100001","View Full Record in Web of Science")</f>
        <v>View Full Record in Web of Science</v>
      </c>
    </row>
    <row r="139" spans="1:72" x14ac:dyDescent="0.15">
      <c r="A139" t="s">
        <v>72</v>
      </c>
      <c r="B139" t="s">
        <v>2530</v>
      </c>
      <c r="C139" t="s">
        <v>74</v>
      </c>
      <c r="D139" t="s">
        <v>74</v>
      </c>
      <c r="E139" t="s">
        <v>74</v>
      </c>
      <c r="F139" t="s">
        <v>2531</v>
      </c>
      <c r="G139" t="s">
        <v>74</v>
      </c>
      <c r="H139" t="s">
        <v>74</v>
      </c>
      <c r="I139" t="s">
        <v>2532</v>
      </c>
      <c r="J139" t="s">
        <v>2533</v>
      </c>
      <c r="K139" t="s">
        <v>74</v>
      </c>
      <c r="L139" t="s">
        <v>74</v>
      </c>
      <c r="M139" t="s">
        <v>78</v>
      </c>
      <c r="N139" t="s">
        <v>79</v>
      </c>
      <c r="O139" t="s">
        <v>74</v>
      </c>
      <c r="P139" t="s">
        <v>74</v>
      </c>
      <c r="Q139" t="s">
        <v>74</v>
      </c>
      <c r="R139" t="s">
        <v>74</v>
      </c>
      <c r="S139" t="s">
        <v>74</v>
      </c>
      <c r="T139" t="s">
        <v>2534</v>
      </c>
      <c r="U139" t="s">
        <v>2535</v>
      </c>
      <c r="V139" t="s">
        <v>2536</v>
      </c>
      <c r="W139" t="s">
        <v>2537</v>
      </c>
      <c r="X139" t="s">
        <v>2538</v>
      </c>
      <c r="Y139" t="s">
        <v>2539</v>
      </c>
      <c r="Z139" t="s">
        <v>2540</v>
      </c>
      <c r="AA139" t="s">
        <v>74</v>
      </c>
      <c r="AB139" t="s">
        <v>74</v>
      </c>
      <c r="AC139" t="s">
        <v>74</v>
      </c>
      <c r="AD139" t="s">
        <v>74</v>
      </c>
      <c r="AE139" t="s">
        <v>74</v>
      </c>
      <c r="AF139" t="s">
        <v>74</v>
      </c>
      <c r="AG139">
        <v>78</v>
      </c>
      <c r="AH139">
        <v>13</v>
      </c>
      <c r="AI139">
        <v>17</v>
      </c>
      <c r="AJ139">
        <v>0</v>
      </c>
      <c r="AK139">
        <v>64</v>
      </c>
      <c r="AL139" t="s">
        <v>1331</v>
      </c>
      <c r="AM139" t="s">
        <v>1421</v>
      </c>
      <c r="AN139" t="s">
        <v>2160</v>
      </c>
      <c r="AO139" t="s">
        <v>2541</v>
      </c>
      <c r="AP139" t="s">
        <v>2542</v>
      </c>
      <c r="AQ139" t="s">
        <v>74</v>
      </c>
      <c r="AR139" t="s">
        <v>2543</v>
      </c>
      <c r="AS139" t="s">
        <v>2544</v>
      </c>
      <c r="AT139" t="s">
        <v>74</v>
      </c>
      <c r="AU139">
        <v>2008</v>
      </c>
      <c r="AV139">
        <v>55</v>
      </c>
      <c r="AW139">
        <v>2</v>
      </c>
      <c r="AX139" t="s">
        <v>74</v>
      </c>
      <c r="AY139" t="s">
        <v>74</v>
      </c>
      <c r="AZ139" t="s">
        <v>74</v>
      </c>
      <c r="BA139" t="s">
        <v>74</v>
      </c>
      <c r="BB139">
        <v>125</v>
      </c>
      <c r="BC139">
        <v>139</v>
      </c>
      <c r="BD139" t="s">
        <v>74</v>
      </c>
      <c r="BE139" t="s">
        <v>2545</v>
      </c>
      <c r="BF139" t="str">
        <f>HYPERLINK("http://dx.doi.org/10.1080/08120090701689308","http://dx.doi.org/10.1080/08120090701689308")</f>
        <v>http://dx.doi.org/10.1080/08120090701689308</v>
      </c>
      <c r="BG139" t="s">
        <v>74</v>
      </c>
      <c r="BH139" t="s">
        <v>74</v>
      </c>
      <c r="BI139">
        <v>15</v>
      </c>
      <c r="BJ139" t="s">
        <v>96</v>
      </c>
      <c r="BK139" t="s">
        <v>97</v>
      </c>
      <c r="BL139" t="s">
        <v>98</v>
      </c>
      <c r="BM139" t="s">
        <v>2546</v>
      </c>
      <c r="BN139" t="s">
        <v>74</v>
      </c>
      <c r="BO139" t="s">
        <v>74</v>
      </c>
      <c r="BP139" t="s">
        <v>74</v>
      </c>
      <c r="BQ139" t="s">
        <v>74</v>
      </c>
      <c r="BR139" t="s">
        <v>100</v>
      </c>
      <c r="BS139" t="s">
        <v>2547</v>
      </c>
      <c r="BT139" t="str">
        <f>HYPERLINK("https%3A%2F%2Fwww.webofscience.com%2Fwos%2Fwoscc%2Ffull-record%2FWOS:000253334300001","View Full Record in Web of Science")</f>
        <v>View Full Record in Web of Science</v>
      </c>
    </row>
    <row r="140" spans="1:72" x14ac:dyDescent="0.15">
      <c r="A140" t="s">
        <v>72</v>
      </c>
      <c r="B140" t="s">
        <v>2548</v>
      </c>
      <c r="C140" t="s">
        <v>74</v>
      </c>
      <c r="D140" t="s">
        <v>74</v>
      </c>
      <c r="E140" t="s">
        <v>74</v>
      </c>
      <c r="F140" t="s">
        <v>2549</v>
      </c>
      <c r="G140" t="s">
        <v>74</v>
      </c>
      <c r="H140" t="s">
        <v>74</v>
      </c>
      <c r="I140" t="s">
        <v>2550</v>
      </c>
      <c r="J140" t="s">
        <v>2551</v>
      </c>
      <c r="K140" t="s">
        <v>74</v>
      </c>
      <c r="L140" t="s">
        <v>74</v>
      </c>
      <c r="M140" t="s">
        <v>78</v>
      </c>
      <c r="N140" t="s">
        <v>2552</v>
      </c>
      <c r="O140" t="s">
        <v>74</v>
      </c>
      <c r="P140" t="s">
        <v>74</v>
      </c>
      <c r="Q140" t="s">
        <v>74</v>
      </c>
      <c r="R140" t="s">
        <v>74</v>
      </c>
      <c r="S140" t="s">
        <v>74</v>
      </c>
      <c r="T140" t="s">
        <v>74</v>
      </c>
      <c r="U140" t="s">
        <v>74</v>
      </c>
      <c r="V140" t="s">
        <v>74</v>
      </c>
      <c r="W140" t="s">
        <v>2553</v>
      </c>
      <c r="X140" t="s">
        <v>2554</v>
      </c>
      <c r="Y140" t="s">
        <v>2555</v>
      </c>
      <c r="Z140" t="s">
        <v>74</v>
      </c>
      <c r="AA140" t="s">
        <v>74</v>
      </c>
      <c r="AB140" t="s">
        <v>74</v>
      </c>
      <c r="AC140" t="s">
        <v>74</v>
      </c>
      <c r="AD140" t="s">
        <v>74</v>
      </c>
      <c r="AE140" t="s">
        <v>74</v>
      </c>
      <c r="AF140" t="s">
        <v>74</v>
      </c>
      <c r="AG140">
        <v>1</v>
      </c>
      <c r="AH140">
        <v>0</v>
      </c>
      <c r="AI140">
        <v>0</v>
      </c>
      <c r="AJ140">
        <v>0</v>
      </c>
      <c r="AK140">
        <v>0</v>
      </c>
      <c r="AL140" t="s">
        <v>2556</v>
      </c>
      <c r="AM140" t="s">
        <v>1467</v>
      </c>
      <c r="AN140" t="s">
        <v>2557</v>
      </c>
      <c r="AO140" t="s">
        <v>2558</v>
      </c>
      <c r="AP140" t="s">
        <v>2559</v>
      </c>
      <c r="AQ140" t="s">
        <v>74</v>
      </c>
      <c r="AR140" t="s">
        <v>2560</v>
      </c>
      <c r="AS140" t="s">
        <v>2561</v>
      </c>
      <c r="AT140" t="s">
        <v>1490</v>
      </c>
      <c r="AU140">
        <v>2008</v>
      </c>
      <c r="AV140">
        <v>24</v>
      </c>
      <c r="AW140" t="s">
        <v>74</v>
      </c>
      <c r="AX140" t="s">
        <v>74</v>
      </c>
      <c r="AY140" t="s">
        <v>74</v>
      </c>
      <c r="AZ140" t="s">
        <v>74</v>
      </c>
      <c r="BA140" t="s">
        <v>74</v>
      </c>
      <c r="BB140">
        <v>77</v>
      </c>
      <c r="BC140">
        <v>78</v>
      </c>
      <c r="BD140" t="s">
        <v>74</v>
      </c>
      <c r="BE140" t="s">
        <v>2562</v>
      </c>
      <c r="BF140" t="str">
        <f>HYPERLINK("http://dx.doi.org/10.1017/S0814062600000616","http://dx.doi.org/10.1017/S0814062600000616")</f>
        <v>http://dx.doi.org/10.1017/S0814062600000616</v>
      </c>
      <c r="BG140" t="s">
        <v>74</v>
      </c>
      <c r="BH140" t="s">
        <v>74</v>
      </c>
      <c r="BI140">
        <v>2</v>
      </c>
      <c r="BJ140" t="s">
        <v>2563</v>
      </c>
      <c r="BK140" t="s">
        <v>2166</v>
      </c>
      <c r="BL140" t="s">
        <v>2563</v>
      </c>
      <c r="BM140" t="s">
        <v>2564</v>
      </c>
      <c r="BN140" t="s">
        <v>74</v>
      </c>
      <c r="BO140" t="s">
        <v>74</v>
      </c>
      <c r="BP140" t="s">
        <v>74</v>
      </c>
      <c r="BQ140" t="s">
        <v>74</v>
      </c>
      <c r="BR140" t="s">
        <v>100</v>
      </c>
      <c r="BS140" t="s">
        <v>2565</v>
      </c>
      <c r="BT140" t="str">
        <f>HYPERLINK("https%3A%2F%2Fwww.webofscience.com%2Fwos%2Fwoscc%2Ffull-record%2FWOS:000210557400009","View Full Record in Web of Science")</f>
        <v>View Full Record in Web of Science</v>
      </c>
    </row>
    <row r="141" spans="1:72" x14ac:dyDescent="0.15">
      <c r="A141" t="s">
        <v>1199</v>
      </c>
      <c r="B141" t="s">
        <v>2566</v>
      </c>
      <c r="C141" t="s">
        <v>74</v>
      </c>
      <c r="D141" t="s">
        <v>2567</v>
      </c>
      <c r="E141" t="s">
        <v>74</v>
      </c>
      <c r="F141" t="s">
        <v>2568</v>
      </c>
      <c r="G141" t="s">
        <v>74</v>
      </c>
      <c r="H141" t="s">
        <v>74</v>
      </c>
      <c r="I141" t="s">
        <v>2569</v>
      </c>
      <c r="J141" t="s">
        <v>2570</v>
      </c>
      <c r="K141" t="s">
        <v>2571</v>
      </c>
      <c r="L141" t="s">
        <v>74</v>
      </c>
      <c r="M141" t="s">
        <v>78</v>
      </c>
      <c r="N141" t="s">
        <v>1524</v>
      </c>
      <c r="O141" t="s">
        <v>74</v>
      </c>
      <c r="P141" t="s">
        <v>74</v>
      </c>
      <c r="Q141" t="s">
        <v>74</v>
      </c>
      <c r="R141" t="s">
        <v>74</v>
      </c>
      <c r="S141" t="s">
        <v>74</v>
      </c>
      <c r="T141" t="s">
        <v>74</v>
      </c>
      <c r="U141" t="s">
        <v>2572</v>
      </c>
      <c r="V141" t="s">
        <v>2573</v>
      </c>
      <c r="W141" t="s">
        <v>2574</v>
      </c>
      <c r="X141" t="s">
        <v>2575</v>
      </c>
      <c r="Y141" t="s">
        <v>2576</v>
      </c>
      <c r="Z141" t="s">
        <v>74</v>
      </c>
      <c r="AA141" t="s">
        <v>74</v>
      </c>
      <c r="AB141" t="s">
        <v>74</v>
      </c>
      <c r="AC141" t="s">
        <v>74</v>
      </c>
      <c r="AD141" t="s">
        <v>74</v>
      </c>
      <c r="AE141" t="s">
        <v>74</v>
      </c>
      <c r="AF141" t="s">
        <v>74</v>
      </c>
      <c r="AG141">
        <v>105</v>
      </c>
      <c r="AH141">
        <v>30</v>
      </c>
      <c r="AI141">
        <v>31</v>
      </c>
      <c r="AJ141">
        <v>0</v>
      </c>
      <c r="AK141">
        <v>2</v>
      </c>
      <c r="AL141" t="s">
        <v>506</v>
      </c>
      <c r="AM141" t="s">
        <v>266</v>
      </c>
      <c r="AN141" t="s">
        <v>2120</v>
      </c>
      <c r="AO141" t="s">
        <v>2577</v>
      </c>
      <c r="AP141" t="s">
        <v>74</v>
      </c>
      <c r="AQ141" t="s">
        <v>2578</v>
      </c>
      <c r="AR141" t="s">
        <v>2579</v>
      </c>
      <c r="AS141" t="s">
        <v>2580</v>
      </c>
      <c r="AT141" t="s">
        <v>74</v>
      </c>
      <c r="AU141">
        <v>2008</v>
      </c>
      <c r="AV141">
        <v>35</v>
      </c>
      <c r="AW141" t="s">
        <v>74</v>
      </c>
      <c r="AX141" t="s">
        <v>74</v>
      </c>
      <c r="AY141" t="s">
        <v>74</v>
      </c>
      <c r="AZ141" t="s">
        <v>74</v>
      </c>
      <c r="BA141" t="s">
        <v>74</v>
      </c>
      <c r="BB141">
        <v>311</v>
      </c>
      <c r="BC141">
        <v>354</v>
      </c>
      <c r="BD141" t="s">
        <v>74</v>
      </c>
      <c r="BE141" t="s">
        <v>74</v>
      </c>
      <c r="BF141" t="s">
        <v>74</v>
      </c>
      <c r="BG141" t="s">
        <v>74</v>
      </c>
      <c r="BH141" t="s">
        <v>74</v>
      </c>
      <c r="BI141">
        <v>44</v>
      </c>
      <c r="BJ141" t="s">
        <v>2581</v>
      </c>
      <c r="BK141" t="s">
        <v>1537</v>
      </c>
      <c r="BL141" t="s">
        <v>2582</v>
      </c>
      <c r="BM141" t="s">
        <v>2583</v>
      </c>
      <c r="BN141" t="s">
        <v>74</v>
      </c>
      <c r="BO141" t="s">
        <v>74</v>
      </c>
      <c r="BP141" t="s">
        <v>74</v>
      </c>
      <c r="BQ141" t="s">
        <v>74</v>
      </c>
      <c r="BR141" t="s">
        <v>100</v>
      </c>
      <c r="BS141" t="s">
        <v>2584</v>
      </c>
      <c r="BT141" t="str">
        <f>HYPERLINK("https%3A%2F%2Fwww.webofscience.com%2Fwos%2Fwoscc%2Ffull-record%2FWOS:000311805400007","View Full Record in Web of Science")</f>
        <v>View Full Record in Web of Science</v>
      </c>
    </row>
    <row r="142" spans="1:72" x14ac:dyDescent="0.15">
      <c r="A142" t="s">
        <v>72</v>
      </c>
      <c r="B142" t="s">
        <v>2585</v>
      </c>
      <c r="C142" t="s">
        <v>74</v>
      </c>
      <c r="D142" t="s">
        <v>74</v>
      </c>
      <c r="E142" t="s">
        <v>74</v>
      </c>
      <c r="F142" t="s">
        <v>2586</v>
      </c>
      <c r="G142" t="s">
        <v>74</v>
      </c>
      <c r="H142" t="s">
        <v>74</v>
      </c>
      <c r="I142" t="s">
        <v>2587</v>
      </c>
      <c r="J142" t="s">
        <v>2588</v>
      </c>
      <c r="K142" t="s">
        <v>74</v>
      </c>
      <c r="L142" t="s">
        <v>74</v>
      </c>
      <c r="M142" t="s">
        <v>78</v>
      </c>
      <c r="N142" t="s">
        <v>79</v>
      </c>
      <c r="O142" t="s">
        <v>74</v>
      </c>
      <c r="P142" t="s">
        <v>74</v>
      </c>
      <c r="Q142" t="s">
        <v>74</v>
      </c>
      <c r="R142" t="s">
        <v>74</v>
      </c>
      <c r="S142" t="s">
        <v>74</v>
      </c>
      <c r="T142" t="s">
        <v>74</v>
      </c>
      <c r="U142" t="s">
        <v>2589</v>
      </c>
      <c r="V142" t="s">
        <v>2590</v>
      </c>
      <c r="W142" t="s">
        <v>2591</v>
      </c>
      <c r="X142" t="s">
        <v>2592</v>
      </c>
      <c r="Y142" t="s">
        <v>2593</v>
      </c>
      <c r="Z142" t="s">
        <v>2594</v>
      </c>
      <c r="AA142" t="s">
        <v>2595</v>
      </c>
      <c r="AB142" t="s">
        <v>2596</v>
      </c>
      <c r="AC142" t="s">
        <v>2597</v>
      </c>
      <c r="AD142" t="s">
        <v>242</v>
      </c>
      <c r="AE142" t="s">
        <v>74</v>
      </c>
      <c r="AF142" t="s">
        <v>74</v>
      </c>
      <c r="AG142">
        <v>68</v>
      </c>
      <c r="AH142">
        <v>50</v>
      </c>
      <c r="AI142">
        <v>53</v>
      </c>
      <c r="AJ142">
        <v>3</v>
      </c>
      <c r="AK142">
        <v>24</v>
      </c>
      <c r="AL142" t="s">
        <v>1552</v>
      </c>
      <c r="AM142" t="s">
        <v>1553</v>
      </c>
      <c r="AN142" t="s">
        <v>1554</v>
      </c>
      <c r="AO142" t="s">
        <v>2598</v>
      </c>
      <c r="AP142" t="s">
        <v>2599</v>
      </c>
      <c r="AQ142" t="s">
        <v>74</v>
      </c>
      <c r="AR142" t="s">
        <v>2588</v>
      </c>
      <c r="AS142" t="s">
        <v>2600</v>
      </c>
      <c r="AT142" t="s">
        <v>74</v>
      </c>
      <c r="AU142">
        <v>2008</v>
      </c>
      <c r="AV142">
        <v>5</v>
      </c>
      <c r="AW142">
        <v>2</v>
      </c>
      <c r="AX142" t="s">
        <v>74</v>
      </c>
      <c r="AY142" t="s">
        <v>74</v>
      </c>
      <c r="AZ142" t="s">
        <v>74</v>
      </c>
      <c r="BA142" t="s">
        <v>74</v>
      </c>
      <c r="BB142">
        <v>407</v>
      </c>
      <c r="BC142">
        <v>419</v>
      </c>
      <c r="BD142" t="s">
        <v>74</v>
      </c>
      <c r="BE142" t="s">
        <v>2601</v>
      </c>
      <c r="BF142" t="str">
        <f>HYPERLINK("http://dx.doi.org/10.5194/bg-5-407-2008","http://dx.doi.org/10.5194/bg-5-407-2008")</f>
        <v>http://dx.doi.org/10.5194/bg-5-407-2008</v>
      </c>
      <c r="BG142" t="s">
        <v>74</v>
      </c>
      <c r="BH142" t="s">
        <v>74</v>
      </c>
      <c r="BI142">
        <v>13</v>
      </c>
      <c r="BJ142" t="s">
        <v>2602</v>
      </c>
      <c r="BK142" t="s">
        <v>97</v>
      </c>
      <c r="BL142" t="s">
        <v>2603</v>
      </c>
      <c r="BM142" t="s">
        <v>2604</v>
      </c>
      <c r="BN142" t="s">
        <v>74</v>
      </c>
      <c r="BO142" t="s">
        <v>2246</v>
      </c>
      <c r="BP142" t="s">
        <v>74</v>
      </c>
      <c r="BQ142" t="s">
        <v>74</v>
      </c>
      <c r="BR142" t="s">
        <v>100</v>
      </c>
      <c r="BS142" t="s">
        <v>2605</v>
      </c>
      <c r="BT142" t="str">
        <f>HYPERLINK("https%3A%2F%2Fwww.webofscience.com%2Fwos%2Fwoscc%2Ffull-record%2FWOS:000255511200009","View Full Record in Web of Science")</f>
        <v>View Full Record in Web of Science</v>
      </c>
    </row>
    <row r="143" spans="1:72" x14ac:dyDescent="0.15">
      <c r="A143" t="s">
        <v>72</v>
      </c>
      <c r="B143" t="s">
        <v>2606</v>
      </c>
      <c r="C143" t="s">
        <v>74</v>
      </c>
      <c r="D143" t="s">
        <v>74</v>
      </c>
      <c r="E143" t="s">
        <v>74</v>
      </c>
      <c r="F143" t="s">
        <v>2607</v>
      </c>
      <c r="G143" t="s">
        <v>74</v>
      </c>
      <c r="H143" t="s">
        <v>74</v>
      </c>
      <c r="I143" t="s">
        <v>2608</v>
      </c>
      <c r="J143" t="s">
        <v>2588</v>
      </c>
      <c r="K143" t="s">
        <v>74</v>
      </c>
      <c r="L143" t="s">
        <v>74</v>
      </c>
      <c r="M143" t="s">
        <v>78</v>
      </c>
      <c r="N143" t="s">
        <v>106</v>
      </c>
      <c r="O143" t="s">
        <v>74</v>
      </c>
      <c r="P143" t="s">
        <v>74</v>
      </c>
      <c r="Q143" t="s">
        <v>74</v>
      </c>
      <c r="R143" t="s">
        <v>74</v>
      </c>
      <c r="S143" t="s">
        <v>74</v>
      </c>
      <c r="T143" t="s">
        <v>74</v>
      </c>
      <c r="U143" t="s">
        <v>2609</v>
      </c>
      <c r="V143" t="s">
        <v>2610</v>
      </c>
      <c r="W143" t="s">
        <v>2611</v>
      </c>
      <c r="X143" t="s">
        <v>2612</v>
      </c>
      <c r="Y143" t="s">
        <v>2613</v>
      </c>
      <c r="Z143" t="s">
        <v>2614</v>
      </c>
      <c r="AA143" t="s">
        <v>74</v>
      </c>
      <c r="AB143" t="s">
        <v>74</v>
      </c>
      <c r="AC143" t="s">
        <v>74</v>
      </c>
      <c r="AD143" t="s">
        <v>74</v>
      </c>
      <c r="AE143" t="s">
        <v>74</v>
      </c>
      <c r="AF143" t="s">
        <v>74</v>
      </c>
      <c r="AG143">
        <v>110</v>
      </c>
      <c r="AH143">
        <v>291</v>
      </c>
      <c r="AI143">
        <v>328</v>
      </c>
      <c r="AJ143">
        <v>9</v>
      </c>
      <c r="AK143">
        <v>131</v>
      </c>
      <c r="AL143" t="s">
        <v>1552</v>
      </c>
      <c r="AM143" t="s">
        <v>1553</v>
      </c>
      <c r="AN143" t="s">
        <v>1554</v>
      </c>
      <c r="AO143" t="s">
        <v>2598</v>
      </c>
      <c r="AP143" t="s">
        <v>2599</v>
      </c>
      <c r="AQ143" t="s">
        <v>74</v>
      </c>
      <c r="AR143" t="s">
        <v>2588</v>
      </c>
      <c r="AS143" t="s">
        <v>2600</v>
      </c>
      <c r="AT143" t="s">
        <v>74</v>
      </c>
      <c r="AU143">
        <v>2008</v>
      </c>
      <c r="AV143">
        <v>5</v>
      </c>
      <c r="AW143">
        <v>3</v>
      </c>
      <c r="AX143" t="s">
        <v>74</v>
      </c>
      <c r="AY143" t="s">
        <v>74</v>
      </c>
      <c r="AZ143" t="s">
        <v>74</v>
      </c>
      <c r="BA143" t="s">
        <v>74</v>
      </c>
      <c r="BB143">
        <v>631</v>
      </c>
      <c r="BC143">
        <v>656</v>
      </c>
      <c r="BD143" t="s">
        <v>74</v>
      </c>
      <c r="BE143" t="s">
        <v>2615</v>
      </c>
      <c r="BF143" t="str">
        <f>HYPERLINK("http://dx.doi.org/10.5194/bg-5-631-2008","http://dx.doi.org/10.5194/bg-5-631-2008")</f>
        <v>http://dx.doi.org/10.5194/bg-5-631-2008</v>
      </c>
      <c r="BG143" t="s">
        <v>74</v>
      </c>
      <c r="BH143" t="s">
        <v>74</v>
      </c>
      <c r="BI143">
        <v>26</v>
      </c>
      <c r="BJ143" t="s">
        <v>2602</v>
      </c>
      <c r="BK143" t="s">
        <v>97</v>
      </c>
      <c r="BL143" t="s">
        <v>2603</v>
      </c>
      <c r="BM143" t="s">
        <v>2616</v>
      </c>
      <c r="BN143" t="s">
        <v>74</v>
      </c>
      <c r="BO143" t="s">
        <v>1581</v>
      </c>
      <c r="BP143" t="s">
        <v>74</v>
      </c>
      <c r="BQ143" t="s">
        <v>74</v>
      </c>
      <c r="BR143" t="s">
        <v>100</v>
      </c>
      <c r="BS143" t="s">
        <v>2617</v>
      </c>
      <c r="BT143" t="str">
        <f>HYPERLINK("https%3A%2F%2Fwww.webofscience.com%2Fwos%2Fwoscc%2Ffull-record%2FWOS:000257303400001","View Full Record in Web of Science")</f>
        <v>View Full Record in Web of Science</v>
      </c>
    </row>
    <row r="144" spans="1:72" x14ac:dyDescent="0.15">
      <c r="A144" t="s">
        <v>72</v>
      </c>
      <c r="B144" t="s">
        <v>2618</v>
      </c>
      <c r="C144" t="s">
        <v>74</v>
      </c>
      <c r="D144" t="s">
        <v>74</v>
      </c>
      <c r="E144" t="s">
        <v>74</v>
      </c>
      <c r="F144" t="s">
        <v>2619</v>
      </c>
      <c r="G144" t="s">
        <v>74</v>
      </c>
      <c r="H144" t="s">
        <v>74</v>
      </c>
      <c r="I144" t="s">
        <v>2620</v>
      </c>
      <c r="J144" t="s">
        <v>2588</v>
      </c>
      <c r="K144" t="s">
        <v>74</v>
      </c>
      <c r="L144" t="s">
        <v>74</v>
      </c>
      <c r="M144" t="s">
        <v>78</v>
      </c>
      <c r="N144" t="s">
        <v>79</v>
      </c>
      <c r="O144" t="s">
        <v>74</v>
      </c>
      <c r="P144" t="s">
        <v>74</v>
      </c>
      <c r="Q144" t="s">
        <v>74</v>
      </c>
      <c r="R144" t="s">
        <v>74</v>
      </c>
      <c r="S144" t="s">
        <v>74</v>
      </c>
      <c r="T144" t="s">
        <v>74</v>
      </c>
      <c r="U144" t="s">
        <v>2621</v>
      </c>
      <c r="V144" t="s">
        <v>2622</v>
      </c>
      <c r="W144" t="s">
        <v>2623</v>
      </c>
      <c r="X144" t="s">
        <v>2624</v>
      </c>
      <c r="Y144" t="s">
        <v>2625</v>
      </c>
      <c r="Z144" t="s">
        <v>2626</v>
      </c>
      <c r="AA144" t="s">
        <v>74</v>
      </c>
      <c r="AB144" t="s">
        <v>2627</v>
      </c>
      <c r="AC144" t="s">
        <v>2628</v>
      </c>
      <c r="AD144" t="s">
        <v>2629</v>
      </c>
      <c r="AE144" t="s">
        <v>74</v>
      </c>
      <c r="AF144" t="s">
        <v>74</v>
      </c>
      <c r="AG144">
        <v>59</v>
      </c>
      <c r="AH144">
        <v>40</v>
      </c>
      <c r="AI144">
        <v>53</v>
      </c>
      <c r="AJ144">
        <v>6</v>
      </c>
      <c r="AK144">
        <v>40</v>
      </c>
      <c r="AL144" t="s">
        <v>1552</v>
      </c>
      <c r="AM144" t="s">
        <v>1553</v>
      </c>
      <c r="AN144" t="s">
        <v>1554</v>
      </c>
      <c r="AO144" t="s">
        <v>2598</v>
      </c>
      <c r="AP144" t="s">
        <v>2599</v>
      </c>
      <c r="AQ144" t="s">
        <v>74</v>
      </c>
      <c r="AR144" t="s">
        <v>2588</v>
      </c>
      <c r="AS144" t="s">
        <v>2600</v>
      </c>
      <c r="AT144" t="s">
        <v>74</v>
      </c>
      <c r="AU144">
        <v>2008</v>
      </c>
      <c r="AV144">
        <v>5</v>
      </c>
      <c r="AW144">
        <v>3</v>
      </c>
      <c r="AX144" t="s">
        <v>74</v>
      </c>
      <c r="AY144" t="s">
        <v>74</v>
      </c>
      <c r="AZ144" t="s">
        <v>74</v>
      </c>
      <c r="BA144" t="s">
        <v>74</v>
      </c>
      <c r="BB144">
        <v>865</v>
      </c>
      <c r="BC144">
        <v>873</v>
      </c>
      <c r="BD144" t="s">
        <v>74</v>
      </c>
      <c r="BE144" t="s">
        <v>2630</v>
      </c>
      <c r="BF144" t="str">
        <f>HYPERLINK("http://dx.doi.org/10.5194/bg-5-865-2008","http://dx.doi.org/10.5194/bg-5-865-2008")</f>
        <v>http://dx.doi.org/10.5194/bg-5-865-2008</v>
      </c>
      <c r="BG144" t="s">
        <v>74</v>
      </c>
      <c r="BH144" t="s">
        <v>74</v>
      </c>
      <c r="BI144">
        <v>9</v>
      </c>
      <c r="BJ144" t="s">
        <v>2602</v>
      </c>
      <c r="BK144" t="s">
        <v>97</v>
      </c>
      <c r="BL144" t="s">
        <v>2603</v>
      </c>
      <c r="BM144" t="s">
        <v>2616</v>
      </c>
      <c r="BN144" t="s">
        <v>74</v>
      </c>
      <c r="BO144" t="s">
        <v>1581</v>
      </c>
      <c r="BP144" t="s">
        <v>74</v>
      </c>
      <c r="BQ144" t="s">
        <v>74</v>
      </c>
      <c r="BR144" t="s">
        <v>100</v>
      </c>
      <c r="BS144" t="s">
        <v>2631</v>
      </c>
      <c r="BT144" t="str">
        <f>HYPERLINK("https%3A%2F%2Fwww.webofscience.com%2Fwos%2Fwoscc%2Ffull-record%2FWOS:000257303400017","View Full Record in Web of Science")</f>
        <v>View Full Record in Web of Science</v>
      </c>
    </row>
    <row r="145" spans="1:72" x14ac:dyDescent="0.15">
      <c r="A145" t="s">
        <v>72</v>
      </c>
      <c r="B145" t="s">
        <v>2632</v>
      </c>
      <c r="C145" t="s">
        <v>74</v>
      </c>
      <c r="D145" t="s">
        <v>74</v>
      </c>
      <c r="E145" t="s">
        <v>74</v>
      </c>
      <c r="F145" t="s">
        <v>2633</v>
      </c>
      <c r="G145" t="s">
        <v>74</v>
      </c>
      <c r="H145" t="s">
        <v>74</v>
      </c>
      <c r="I145" t="s">
        <v>2634</v>
      </c>
      <c r="J145" t="s">
        <v>2588</v>
      </c>
      <c r="K145" t="s">
        <v>74</v>
      </c>
      <c r="L145" t="s">
        <v>74</v>
      </c>
      <c r="M145" t="s">
        <v>78</v>
      </c>
      <c r="N145" t="s">
        <v>79</v>
      </c>
      <c r="O145" t="s">
        <v>74</v>
      </c>
      <c r="P145" t="s">
        <v>74</v>
      </c>
      <c r="Q145" t="s">
        <v>74</v>
      </c>
      <c r="R145" t="s">
        <v>74</v>
      </c>
      <c r="S145" t="s">
        <v>74</v>
      </c>
      <c r="T145" t="s">
        <v>74</v>
      </c>
      <c r="U145" t="s">
        <v>2635</v>
      </c>
      <c r="V145" t="s">
        <v>2636</v>
      </c>
      <c r="W145" t="s">
        <v>2637</v>
      </c>
      <c r="X145" t="s">
        <v>2638</v>
      </c>
      <c r="Y145" t="s">
        <v>2639</v>
      </c>
      <c r="Z145" t="s">
        <v>2640</v>
      </c>
      <c r="AA145" t="s">
        <v>74</v>
      </c>
      <c r="AB145" t="s">
        <v>2641</v>
      </c>
      <c r="AC145" t="s">
        <v>2642</v>
      </c>
      <c r="AD145" t="s">
        <v>2643</v>
      </c>
      <c r="AE145" t="s">
        <v>2644</v>
      </c>
      <c r="AF145" t="s">
        <v>74</v>
      </c>
      <c r="AG145">
        <v>66</v>
      </c>
      <c r="AH145">
        <v>120</v>
      </c>
      <c r="AI145">
        <v>154</v>
      </c>
      <c r="AJ145">
        <v>4</v>
      </c>
      <c r="AK145">
        <v>41</v>
      </c>
      <c r="AL145" t="s">
        <v>2481</v>
      </c>
      <c r="AM145" t="s">
        <v>2482</v>
      </c>
      <c r="AN145" t="s">
        <v>2483</v>
      </c>
      <c r="AO145" t="s">
        <v>2598</v>
      </c>
      <c r="AP145" t="s">
        <v>74</v>
      </c>
      <c r="AQ145" t="s">
        <v>74</v>
      </c>
      <c r="AR145" t="s">
        <v>2588</v>
      </c>
      <c r="AS145" t="s">
        <v>2600</v>
      </c>
      <c r="AT145" t="s">
        <v>74</v>
      </c>
      <c r="AU145">
        <v>2008</v>
      </c>
      <c r="AV145">
        <v>5</v>
      </c>
      <c r="AW145">
        <v>5</v>
      </c>
      <c r="AX145" t="s">
        <v>74</v>
      </c>
      <c r="AY145" t="s">
        <v>74</v>
      </c>
      <c r="AZ145" t="s">
        <v>74</v>
      </c>
      <c r="BA145" t="s">
        <v>74</v>
      </c>
      <c r="BB145">
        <v>1325</v>
      </c>
      <c r="BC145">
        <v>1337</v>
      </c>
      <c r="BD145" t="s">
        <v>74</v>
      </c>
      <c r="BE145" t="s">
        <v>2645</v>
      </c>
      <c r="BF145" t="str">
        <f>HYPERLINK("http://dx.doi.org/10.5194/bg-5-1325-2008","http://dx.doi.org/10.5194/bg-5-1325-2008")</f>
        <v>http://dx.doi.org/10.5194/bg-5-1325-2008</v>
      </c>
      <c r="BG145" t="s">
        <v>74</v>
      </c>
      <c r="BH145" t="s">
        <v>74</v>
      </c>
      <c r="BI145">
        <v>13</v>
      </c>
      <c r="BJ145" t="s">
        <v>2602</v>
      </c>
      <c r="BK145" t="s">
        <v>97</v>
      </c>
      <c r="BL145" t="s">
        <v>2603</v>
      </c>
      <c r="BM145" t="s">
        <v>2646</v>
      </c>
      <c r="BN145" t="s">
        <v>74</v>
      </c>
      <c r="BO145" t="s">
        <v>1581</v>
      </c>
      <c r="BP145" t="s">
        <v>74</v>
      </c>
      <c r="BQ145" t="s">
        <v>74</v>
      </c>
      <c r="BR145" t="s">
        <v>100</v>
      </c>
      <c r="BS145" t="s">
        <v>2647</v>
      </c>
      <c r="BT145" t="str">
        <f>HYPERLINK("https%3A%2F%2Fwww.webofscience.com%2Fwos%2Fwoscc%2Ffull-record%2FWOS:000260059700010","View Full Record in Web of Science")</f>
        <v>View Full Record in Web of Science</v>
      </c>
    </row>
    <row r="146" spans="1:72" x14ac:dyDescent="0.15">
      <c r="A146" t="s">
        <v>72</v>
      </c>
      <c r="B146" t="s">
        <v>2648</v>
      </c>
      <c r="C146" t="s">
        <v>74</v>
      </c>
      <c r="D146" t="s">
        <v>74</v>
      </c>
      <c r="E146" t="s">
        <v>74</v>
      </c>
      <c r="F146" t="s">
        <v>2649</v>
      </c>
      <c r="G146" t="s">
        <v>74</v>
      </c>
      <c r="H146" t="s">
        <v>74</v>
      </c>
      <c r="I146" t="s">
        <v>2650</v>
      </c>
      <c r="J146" t="s">
        <v>2588</v>
      </c>
      <c r="K146" t="s">
        <v>74</v>
      </c>
      <c r="L146" t="s">
        <v>74</v>
      </c>
      <c r="M146" t="s">
        <v>78</v>
      </c>
      <c r="N146" t="s">
        <v>79</v>
      </c>
      <c r="O146" t="s">
        <v>74</v>
      </c>
      <c r="P146" t="s">
        <v>74</v>
      </c>
      <c r="Q146" t="s">
        <v>74</v>
      </c>
      <c r="R146" t="s">
        <v>74</v>
      </c>
      <c r="S146" t="s">
        <v>74</v>
      </c>
      <c r="T146" t="s">
        <v>74</v>
      </c>
      <c r="U146" t="s">
        <v>2651</v>
      </c>
      <c r="V146" t="s">
        <v>2652</v>
      </c>
      <c r="W146" t="s">
        <v>2653</v>
      </c>
      <c r="X146" t="s">
        <v>2654</v>
      </c>
      <c r="Y146" t="s">
        <v>2655</v>
      </c>
      <c r="Z146" t="s">
        <v>2656</v>
      </c>
      <c r="AA146" t="s">
        <v>2657</v>
      </c>
      <c r="AB146" t="s">
        <v>2658</v>
      </c>
      <c r="AC146" t="s">
        <v>2659</v>
      </c>
      <c r="AD146" t="s">
        <v>2660</v>
      </c>
      <c r="AE146" t="s">
        <v>2661</v>
      </c>
      <c r="AF146" t="s">
        <v>74</v>
      </c>
      <c r="AG146">
        <v>34</v>
      </c>
      <c r="AH146">
        <v>91</v>
      </c>
      <c r="AI146">
        <v>100</v>
      </c>
      <c r="AJ146">
        <v>0</v>
      </c>
      <c r="AK146">
        <v>46</v>
      </c>
      <c r="AL146" t="s">
        <v>1552</v>
      </c>
      <c r="AM146" t="s">
        <v>1553</v>
      </c>
      <c r="AN146" t="s">
        <v>1554</v>
      </c>
      <c r="AO146" t="s">
        <v>2598</v>
      </c>
      <c r="AP146" t="s">
        <v>2599</v>
      </c>
      <c r="AQ146" t="s">
        <v>74</v>
      </c>
      <c r="AR146" t="s">
        <v>2588</v>
      </c>
      <c r="AS146" t="s">
        <v>2600</v>
      </c>
      <c r="AT146" t="s">
        <v>74</v>
      </c>
      <c r="AU146">
        <v>2008</v>
      </c>
      <c r="AV146">
        <v>5</v>
      </c>
      <c r="AW146">
        <v>6</v>
      </c>
      <c r="AX146" t="s">
        <v>74</v>
      </c>
      <c r="AY146" t="s">
        <v>74</v>
      </c>
      <c r="AZ146" t="s">
        <v>74</v>
      </c>
      <c r="BA146" t="s">
        <v>74</v>
      </c>
      <c r="BB146">
        <v>1601</v>
      </c>
      <c r="BC146">
        <v>1613</v>
      </c>
      <c r="BD146" t="s">
        <v>74</v>
      </c>
      <c r="BE146" t="s">
        <v>2662</v>
      </c>
      <c r="BF146" t="str">
        <f>HYPERLINK("http://dx.doi.org/10.5194/bg-5-1601-2008","http://dx.doi.org/10.5194/bg-5-1601-2008")</f>
        <v>http://dx.doi.org/10.5194/bg-5-1601-2008</v>
      </c>
      <c r="BG146" t="s">
        <v>74</v>
      </c>
      <c r="BH146" t="s">
        <v>74</v>
      </c>
      <c r="BI146">
        <v>13</v>
      </c>
      <c r="BJ146" t="s">
        <v>2602</v>
      </c>
      <c r="BK146" t="s">
        <v>97</v>
      </c>
      <c r="BL146" t="s">
        <v>2603</v>
      </c>
      <c r="BM146" t="s">
        <v>2663</v>
      </c>
      <c r="BN146" t="s">
        <v>74</v>
      </c>
      <c r="BO146" t="s">
        <v>1581</v>
      </c>
      <c r="BP146" t="s">
        <v>74</v>
      </c>
      <c r="BQ146" t="s">
        <v>74</v>
      </c>
      <c r="BR146" t="s">
        <v>100</v>
      </c>
      <c r="BS146" t="s">
        <v>2664</v>
      </c>
      <c r="BT146" t="str">
        <f>HYPERLINK("https%3A%2F%2Fwww.webofscience.com%2Fwos%2Fwoscc%2Ffull-record%2FWOS:000262411100010","View Full Record in Web of Science")</f>
        <v>View Full Record in Web of Science</v>
      </c>
    </row>
    <row r="147" spans="1:72" x14ac:dyDescent="0.15">
      <c r="A147" t="s">
        <v>810</v>
      </c>
      <c r="B147" t="s">
        <v>2665</v>
      </c>
      <c r="C147" t="s">
        <v>2666</v>
      </c>
      <c r="D147" t="s">
        <v>74</v>
      </c>
      <c r="E147" t="s">
        <v>74</v>
      </c>
      <c r="F147" t="s">
        <v>2667</v>
      </c>
      <c r="G147" t="s">
        <v>2666</v>
      </c>
      <c r="H147" t="s">
        <v>74</v>
      </c>
      <c r="I147" t="s">
        <v>2668</v>
      </c>
      <c r="J147" t="s">
        <v>2669</v>
      </c>
      <c r="K147" t="s">
        <v>2670</v>
      </c>
      <c r="L147" t="s">
        <v>74</v>
      </c>
      <c r="M147" t="s">
        <v>78</v>
      </c>
      <c r="N147" t="s">
        <v>2671</v>
      </c>
      <c r="O147" t="s">
        <v>74</v>
      </c>
      <c r="P147" t="s">
        <v>74</v>
      </c>
      <c r="Q147" t="s">
        <v>74</v>
      </c>
      <c r="R147" t="s">
        <v>74</v>
      </c>
      <c r="S147" t="s">
        <v>74</v>
      </c>
      <c r="T147" t="s">
        <v>74</v>
      </c>
      <c r="U147" t="s">
        <v>2672</v>
      </c>
      <c r="V147" t="s">
        <v>74</v>
      </c>
      <c r="W147" t="s">
        <v>2673</v>
      </c>
      <c r="X147" t="s">
        <v>2674</v>
      </c>
      <c r="Y147" t="s">
        <v>2675</v>
      </c>
      <c r="Z147" t="s">
        <v>74</v>
      </c>
      <c r="AA147" t="s">
        <v>2676</v>
      </c>
      <c r="AB147" t="s">
        <v>2677</v>
      </c>
      <c r="AC147" t="s">
        <v>74</v>
      </c>
      <c r="AD147" t="s">
        <v>74</v>
      </c>
      <c r="AE147" t="s">
        <v>74</v>
      </c>
      <c r="AF147" t="s">
        <v>74</v>
      </c>
      <c r="AG147">
        <v>670</v>
      </c>
      <c r="AH147">
        <v>0</v>
      </c>
      <c r="AI147">
        <v>0</v>
      </c>
      <c r="AJ147">
        <v>0</v>
      </c>
      <c r="AK147">
        <v>2</v>
      </c>
      <c r="AL147" t="s">
        <v>2678</v>
      </c>
      <c r="AM147" t="s">
        <v>662</v>
      </c>
      <c r="AN147" t="s">
        <v>2679</v>
      </c>
      <c r="AO147" t="s">
        <v>74</v>
      </c>
      <c r="AP147" t="s">
        <v>74</v>
      </c>
      <c r="AQ147" t="s">
        <v>2680</v>
      </c>
      <c r="AR147" t="s">
        <v>2681</v>
      </c>
      <c r="AS147" t="s">
        <v>74</v>
      </c>
      <c r="AT147" t="s">
        <v>74</v>
      </c>
      <c r="AU147">
        <v>2008</v>
      </c>
      <c r="AV147" t="s">
        <v>74</v>
      </c>
      <c r="AW147" t="s">
        <v>74</v>
      </c>
      <c r="AX147" t="s">
        <v>74</v>
      </c>
      <c r="AY147" t="s">
        <v>74</v>
      </c>
      <c r="AZ147" t="s">
        <v>74</v>
      </c>
      <c r="BA147" t="s">
        <v>74</v>
      </c>
      <c r="BB147" t="s">
        <v>2682</v>
      </c>
      <c r="BC147" t="s">
        <v>865</v>
      </c>
      <c r="BD147" t="s">
        <v>74</v>
      </c>
      <c r="BE147" t="s">
        <v>74</v>
      </c>
      <c r="BF147" t="s">
        <v>74</v>
      </c>
      <c r="BG147" t="s">
        <v>2683</v>
      </c>
      <c r="BH147" t="s">
        <v>74</v>
      </c>
      <c r="BI147">
        <v>43</v>
      </c>
      <c r="BJ147" t="s">
        <v>2684</v>
      </c>
      <c r="BK147" t="s">
        <v>1537</v>
      </c>
      <c r="BL147" t="s">
        <v>2685</v>
      </c>
      <c r="BM147" t="s">
        <v>2686</v>
      </c>
      <c r="BN147" t="s">
        <v>74</v>
      </c>
      <c r="BO147" t="s">
        <v>74</v>
      </c>
      <c r="BP147" t="s">
        <v>74</v>
      </c>
      <c r="BQ147" t="s">
        <v>74</v>
      </c>
      <c r="BR147" t="s">
        <v>100</v>
      </c>
      <c r="BS147" t="s">
        <v>2687</v>
      </c>
      <c r="BT147" t="str">
        <f>HYPERLINK("https%3A%2F%2Fwww.webofscience.com%2Fwos%2Fwoscc%2Ffull-record%2FWOS:000353389100001","View Full Record in Web of Science")</f>
        <v>View Full Record in Web of Science</v>
      </c>
    </row>
    <row r="148" spans="1:72" x14ac:dyDescent="0.15">
      <c r="A148" t="s">
        <v>72</v>
      </c>
      <c r="B148" t="s">
        <v>2688</v>
      </c>
      <c r="C148" t="s">
        <v>74</v>
      </c>
      <c r="D148" t="s">
        <v>74</v>
      </c>
      <c r="E148" t="s">
        <v>74</v>
      </c>
      <c r="F148" t="s">
        <v>2689</v>
      </c>
      <c r="G148" t="s">
        <v>74</v>
      </c>
      <c r="H148" t="s">
        <v>74</v>
      </c>
      <c r="I148" t="s">
        <v>2690</v>
      </c>
      <c r="J148" t="s">
        <v>2691</v>
      </c>
      <c r="K148" t="s">
        <v>74</v>
      </c>
      <c r="L148" t="s">
        <v>74</v>
      </c>
      <c r="M148" t="s">
        <v>78</v>
      </c>
      <c r="N148" t="s">
        <v>79</v>
      </c>
      <c r="O148" t="s">
        <v>74</v>
      </c>
      <c r="P148" t="s">
        <v>74</v>
      </c>
      <c r="Q148" t="s">
        <v>74</v>
      </c>
      <c r="R148" t="s">
        <v>74</v>
      </c>
      <c r="S148" t="s">
        <v>74</v>
      </c>
      <c r="T148" t="s">
        <v>2692</v>
      </c>
      <c r="U148" t="s">
        <v>2693</v>
      </c>
      <c r="V148" t="s">
        <v>2694</v>
      </c>
      <c r="W148" t="s">
        <v>2695</v>
      </c>
      <c r="X148" t="s">
        <v>2696</v>
      </c>
      <c r="Y148" t="s">
        <v>2697</v>
      </c>
      <c r="Z148" t="s">
        <v>2698</v>
      </c>
      <c r="AA148" t="s">
        <v>2699</v>
      </c>
      <c r="AB148" t="s">
        <v>2700</v>
      </c>
      <c r="AC148" t="s">
        <v>74</v>
      </c>
      <c r="AD148" t="s">
        <v>74</v>
      </c>
      <c r="AE148" t="s">
        <v>74</v>
      </c>
      <c r="AF148" t="s">
        <v>74</v>
      </c>
      <c r="AG148">
        <v>15</v>
      </c>
      <c r="AH148">
        <v>9</v>
      </c>
      <c r="AI148">
        <v>11</v>
      </c>
      <c r="AJ148">
        <v>0</v>
      </c>
      <c r="AK148">
        <v>6</v>
      </c>
      <c r="AL148" t="s">
        <v>1265</v>
      </c>
      <c r="AM148" t="s">
        <v>1317</v>
      </c>
      <c r="AN148" t="s">
        <v>2701</v>
      </c>
      <c r="AO148" t="s">
        <v>2702</v>
      </c>
      <c r="AP148" t="s">
        <v>74</v>
      </c>
      <c r="AQ148" t="s">
        <v>74</v>
      </c>
      <c r="AR148" t="s">
        <v>2703</v>
      </c>
      <c r="AS148" t="s">
        <v>2704</v>
      </c>
      <c r="AT148" t="s">
        <v>1490</v>
      </c>
      <c r="AU148">
        <v>2008</v>
      </c>
      <c r="AV148">
        <v>30</v>
      </c>
      <c r="AW148">
        <v>1</v>
      </c>
      <c r="AX148" t="s">
        <v>74</v>
      </c>
      <c r="AY148" t="s">
        <v>74</v>
      </c>
      <c r="AZ148" t="s">
        <v>74</v>
      </c>
      <c r="BA148" t="s">
        <v>74</v>
      </c>
      <c r="BB148">
        <v>67</v>
      </c>
      <c r="BC148">
        <v>72</v>
      </c>
      <c r="BD148" t="s">
        <v>74</v>
      </c>
      <c r="BE148" t="s">
        <v>2705</v>
      </c>
      <c r="BF148" t="str">
        <f>HYPERLINK("http://dx.doi.org/10.1007/s10529-007-9511-6","http://dx.doi.org/10.1007/s10529-007-9511-6")</f>
        <v>http://dx.doi.org/10.1007/s10529-007-9511-6</v>
      </c>
      <c r="BG148" t="s">
        <v>74</v>
      </c>
      <c r="BH148" t="s">
        <v>74</v>
      </c>
      <c r="BI148">
        <v>6</v>
      </c>
      <c r="BJ148" t="s">
        <v>2706</v>
      </c>
      <c r="BK148" t="s">
        <v>97</v>
      </c>
      <c r="BL148" t="s">
        <v>2706</v>
      </c>
      <c r="BM148" t="s">
        <v>2707</v>
      </c>
      <c r="BN148">
        <v>17987272</v>
      </c>
      <c r="BO148" t="s">
        <v>74</v>
      </c>
      <c r="BP148" t="s">
        <v>74</v>
      </c>
      <c r="BQ148" t="s">
        <v>74</v>
      </c>
      <c r="BR148" t="s">
        <v>100</v>
      </c>
      <c r="BS148" t="s">
        <v>2708</v>
      </c>
      <c r="BT148" t="str">
        <f>HYPERLINK("https%3A%2F%2Fwww.webofscience.com%2Fwos%2Fwoscc%2Ffull-record%2FWOS:000251307500010","View Full Record in Web of Science")</f>
        <v>View Full Record in Web of Science</v>
      </c>
    </row>
    <row r="149" spans="1:72" x14ac:dyDescent="0.15">
      <c r="A149" t="s">
        <v>72</v>
      </c>
      <c r="B149" t="s">
        <v>2709</v>
      </c>
      <c r="C149" t="s">
        <v>74</v>
      </c>
      <c r="D149" t="s">
        <v>74</v>
      </c>
      <c r="E149" t="s">
        <v>74</v>
      </c>
      <c r="F149" t="s">
        <v>2710</v>
      </c>
      <c r="G149" t="s">
        <v>74</v>
      </c>
      <c r="H149" t="s">
        <v>74</v>
      </c>
      <c r="I149" t="s">
        <v>2711</v>
      </c>
      <c r="J149" t="s">
        <v>2712</v>
      </c>
      <c r="K149" t="s">
        <v>74</v>
      </c>
      <c r="L149" t="s">
        <v>74</v>
      </c>
      <c r="M149" t="s">
        <v>78</v>
      </c>
      <c r="N149" t="s">
        <v>79</v>
      </c>
      <c r="O149" t="s">
        <v>74</v>
      </c>
      <c r="P149" t="s">
        <v>74</v>
      </c>
      <c r="Q149" t="s">
        <v>74</v>
      </c>
      <c r="R149" t="s">
        <v>74</v>
      </c>
      <c r="S149" t="s">
        <v>74</v>
      </c>
      <c r="T149" t="s">
        <v>2713</v>
      </c>
      <c r="U149" t="s">
        <v>2714</v>
      </c>
      <c r="V149" t="s">
        <v>2715</v>
      </c>
      <c r="W149" t="s">
        <v>2716</v>
      </c>
      <c r="X149" t="s">
        <v>2717</v>
      </c>
      <c r="Y149" t="s">
        <v>2718</v>
      </c>
      <c r="Z149" t="s">
        <v>2719</v>
      </c>
      <c r="AA149" t="s">
        <v>74</v>
      </c>
      <c r="AB149" t="s">
        <v>74</v>
      </c>
      <c r="AC149" t="s">
        <v>2720</v>
      </c>
      <c r="AD149" t="s">
        <v>2721</v>
      </c>
      <c r="AE149" t="s">
        <v>2722</v>
      </c>
      <c r="AF149" t="s">
        <v>74</v>
      </c>
      <c r="AG149">
        <v>21</v>
      </c>
      <c r="AH149">
        <v>0</v>
      </c>
      <c r="AI149">
        <v>0</v>
      </c>
      <c r="AJ149">
        <v>0</v>
      </c>
      <c r="AK149">
        <v>4</v>
      </c>
      <c r="AL149" t="s">
        <v>2723</v>
      </c>
      <c r="AM149" t="s">
        <v>2724</v>
      </c>
      <c r="AN149" t="s">
        <v>2725</v>
      </c>
      <c r="AO149" t="s">
        <v>2726</v>
      </c>
      <c r="AP149" t="s">
        <v>74</v>
      </c>
      <c r="AQ149" t="s">
        <v>74</v>
      </c>
      <c r="AR149" t="s">
        <v>2727</v>
      </c>
      <c r="AS149" t="s">
        <v>2728</v>
      </c>
      <c r="AT149" t="s">
        <v>74</v>
      </c>
      <c r="AU149">
        <v>2008</v>
      </c>
      <c r="AV149">
        <v>14</v>
      </c>
      <c r="AW149">
        <v>1</v>
      </c>
      <c r="AX149" t="s">
        <v>74</v>
      </c>
      <c r="AY149" t="s">
        <v>74</v>
      </c>
      <c r="AZ149" t="s">
        <v>74</v>
      </c>
      <c r="BA149" t="s">
        <v>74</v>
      </c>
      <c r="BB149">
        <v>3</v>
      </c>
      <c r="BC149">
        <v>20</v>
      </c>
      <c r="BD149" t="s">
        <v>74</v>
      </c>
      <c r="BE149" t="s">
        <v>74</v>
      </c>
      <c r="BF149" t="s">
        <v>74</v>
      </c>
      <c r="BG149" t="s">
        <v>74</v>
      </c>
      <c r="BH149" t="s">
        <v>74</v>
      </c>
      <c r="BI149">
        <v>18</v>
      </c>
      <c r="BJ149" t="s">
        <v>2729</v>
      </c>
      <c r="BK149" t="s">
        <v>97</v>
      </c>
      <c r="BL149" t="s">
        <v>2729</v>
      </c>
      <c r="BM149" t="s">
        <v>2730</v>
      </c>
      <c r="BN149" t="s">
        <v>74</v>
      </c>
      <c r="BO149" t="s">
        <v>74</v>
      </c>
      <c r="BP149" t="s">
        <v>74</v>
      </c>
      <c r="BQ149" t="s">
        <v>74</v>
      </c>
      <c r="BR149" t="s">
        <v>100</v>
      </c>
      <c r="BS149" t="s">
        <v>2731</v>
      </c>
      <c r="BT149" t="str">
        <f>HYPERLINK("https%3A%2F%2Fwww.webofscience.com%2Fwos%2Fwoscc%2Ffull-record%2FWOS:000260625400001","View Full Record in Web of Science")</f>
        <v>View Full Record in Web of Science</v>
      </c>
    </row>
    <row r="150" spans="1:72" x14ac:dyDescent="0.15">
      <c r="A150" t="s">
        <v>72</v>
      </c>
      <c r="B150" t="s">
        <v>2732</v>
      </c>
      <c r="C150" t="s">
        <v>74</v>
      </c>
      <c r="D150" t="s">
        <v>74</v>
      </c>
      <c r="E150" t="s">
        <v>74</v>
      </c>
      <c r="F150" t="s">
        <v>2733</v>
      </c>
      <c r="G150" t="s">
        <v>74</v>
      </c>
      <c r="H150" t="s">
        <v>74</v>
      </c>
      <c r="I150" t="s">
        <v>2734</v>
      </c>
      <c r="J150" t="s">
        <v>2735</v>
      </c>
      <c r="K150" t="s">
        <v>74</v>
      </c>
      <c r="L150" t="s">
        <v>74</v>
      </c>
      <c r="M150" t="s">
        <v>78</v>
      </c>
      <c r="N150" t="s">
        <v>79</v>
      </c>
      <c r="O150" t="s">
        <v>74</v>
      </c>
      <c r="P150" t="s">
        <v>74</v>
      </c>
      <c r="Q150" t="s">
        <v>74</v>
      </c>
      <c r="R150" t="s">
        <v>74</v>
      </c>
      <c r="S150" t="s">
        <v>74</v>
      </c>
      <c r="T150" t="s">
        <v>74</v>
      </c>
      <c r="U150" t="s">
        <v>2736</v>
      </c>
      <c r="V150" t="s">
        <v>2737</v>
      </c>
      <c r="W150" t="s">
        <v>2738</v>
      </c>
      <c r="X150" t="s">
        <v>2739</v>
      </c>
      <c r="Y150" t="s">
        <v>2740</v>
      </c>
      <c r="Z150" t="s">
        <v>2741</v>
      </c>
      <c r="AA150" t="s">
        <v>2742</v>
      </c>
      <c r="AB150" t="s">
        <v>2743</v>
      </c>
      <c r="AC150" t="s">
        <v>74</v>
      </c>
      <c r="AD150" t="s">
        <v>74</v>
      </c>
      <c r="AE150" t="s">
        <v>74</v>
      </c>
      <c r="AF150" t="s">
        <v>74</v>
      </c>
      <c r="AG150">
        <v>46</v>
      </c>
      <c r="AH150">
        <v>27</v>
      </c>
      <c r="AI150">
        <v>29</v>
      </c>
      <c r="AJ150">
        <v>0</v>
      </c>
      <c r="AK150">
        <v>14</v>
      </c>
      <c r="AL150" t="s">
        <v>1219</v>
      </c>
      <c r="AM150" t="s">
        <v>89</v>
      </c>
      <c r="AN150" t="s">
        <v>90</v>
      </c>
      <c r="AO150" t="s">
        <v>2744</v>
      </c>
      <c r="AP150" t="s">
        <v>2745</v>
      </c>
      <c r="AQ150" t="s">
        <v>74</v>
      </c>
      <c r="AR150" t="s">
        <v>2735</v>
      </c>
      <c r="AS150" t="s">
        <v>2746</v>
      </c>
      <c r="AT150" t="s">
        <v>74</v>
      </c>
      <c r="AU150">
        <v>2008</v>
      </c>
      <c r="AV150">
        <v>37</v>
      </c>
      <c r="AW150">
        <v>1</v>
      </c>
      <c r="AX150" t="s">
        <v>74</v>
      </c>
      <c r="AY150" t="s">
        <v>74</v>
      </c>
      <c r="AZ150" t="s">
        <v>74</v>
      </c>
      <c r="BA150" t="s">
        <v>74</v>
      </c>
      <c r="BB150">
        <v>55</v>
      </c>
      <c r="BC150">
        <v>65</v>
      </c>
      <c r="BD150" t="s">
        <v>74</v>
      </c>
      <c r="BE150" t="s">
        <v>2747</v>
      </c>
      <c r="BF150" t="str">
        <f>HYPERLINK("http://dx.doi.org/10.1111/j.1502-3885.2007.00011.x","http://dx.doi.org/10.1111/j.1502-3885.2007.00011.x")</f>
        <v>http://dx.doi.org/10.1111/j.1502-3885.2007.00011.x</v>
      </c>
      <c r="BG150" t="s">
        <v>74</v>
      </c>
      <c r="BH150" t="s">
        <v>74</v>
      </c>
      <c r="BI150">
        <v>11</v>
      </c>
      <c r="BJ150" t="s">
        <v>2748</v>
      </c>
      <c r="BK150" t="s">
        <v>97</v>
      </c>
      <c r="BL150" t="s">
        <v>2749</v>
      </c>
      <c r="BM150" t="s">
        <v>2750</v>
      </c>
      <c r="BN150" t="s">
        <v>74</v>
      </c>
      <c r="BO150" t="s">
        <v>1050</v>
      </c>
      <c r="BP150" t="s">
        <v>74</v>
      </c>
      <c r="BQ150" t="s">
        <v>74</v>
      </c>
      <c r="BR150" t="s">
        <v>100</v>
      </c>
      <c r="BS150" t="s">
        <v>2751</v>
      </c>
      <c r="BT150" t="str">
        <f>HYPERLINK("https%3A%2F%2Fwww.webofscience.com%2Fwos%2Fwoscc%2Ffull-record%2FWOS:000252393000004","View Full Record in Web of Science")</f>
        <v>View Full Record in Web of Science</v>
      </c>
    </row>
    <row r="151" spans="1:72" x14ac:dyDescent="0.15">
      <c r="A151" t="s">
        <v>1199</v>
      </c>
      <c r="B151" t="s">
        <v>2752</v>
      </c>
      <c r="C151" t="s">
        <v>74</v>
      </c>
      <c r="D151" t="s">
        <v>2753</v>
      </c>
      <c r="E151" t="s">
        <v>74</v>
      </c>
      <c r="F151" t="s">
        <v>2754</v>
      </c>
      <c r="G151" t="s">
        <v>74</v>
      </c>
      <c r="H151" t="s">
        <v>74</v>
      </c>
      <c r="I151" t="s">
        <v>2755</v>
      </c>
      <c r="J151" t="s">
        <v>2756</v>
      </c>
      <c r="K151" t="s">
        <v>2757</v>
      </c>
      <c r="L151" t="s">
        <v>74</v>
      </c>
      <c r="M151" t="s">
        <v>78</v>
      </c>
      <c r="N151" t="s">
        <v>1524</v>
      </c>
      <c r="O151" t="s">
        <v>74</v>
      </c>
      <c r="P151" t="s">
        <v>74</v>
      </c>
      <c r="Q151" t="s">
        <v>74</v>
      </c>
      <c r="R151" t="s">
        <v>74</v>
      </c>
      <c r="S151" t="s">
        <v>74</v>
      </c>
      <c r="T151" t="s">
        <v>74</v>
      </c>
      <c r="U151" t="s">
        <v>74</v>
      </c>
      <c r="V151" t="s">
        <v>2758</v>
      </c>
      <c r="W151" t="s">
        <v>2759</v>
      </c>
      <c r="X151" t="s">
        <v>2760</v>
      </c>
      <c r="Y151" t="s">
        <v>2761</v>
      </c>
      <c r="Z151" t="s">
        <v>2762</v>
      </c>
      <c r="AA151" t="s">
        <v>2763</v>
      </c>
      <c r="AB151" t="s">
        <v>74</v>
      </c>
      <c r="AC151" t="s">
        <v>74</v>
      </c>
      <c r="AD151" t="s">
        <v>74</v>
      </c>
      <c r="AE151" t="s">
        <v>74</v>
      </c>
      <c r="AF151" t="s">
        <v>74</v>
      </c>
      <c r="AG151">
        <v>7</v>
      </c>
      <c r="AH151">
        <v>2</v>
      </c>
      <c r="AI151">
        <v>2</v>
      </c>
      <c r="AJ151">
        <v>0</v>
      </c>
      <c r="AK151">
        <v>5</v>
      </c>
      <c r="AL151" t="s">
        <v>88</v>
      </c>
      <c r="AM151" t="s">
        <v>2764</v>
      </c>
      <c r="AN151" t="s">
        <v>2765</v>
      </c>
      <c r="AO151" t="s">
        <v>2766</v>
      </c>
      <c r="AP151" t="s">
        <v>74</v>
      </c>
      <c r="AQ151" t="s">
        <v>2767</v>
      </c>
      <c r="AR151" t="s">
        <v>2768</v>
      </c>
      <c r="AS151" t="s">
        <v>2769</v>
      </c>
      <c r="AT151" t="s">
        <v>74</v>
      </c>
      <c r="AU151">
        <v>2008</v>
      </c>
      <c r="AV151" t="s">
        <v>74</v>
      </c>
      <c r="AW151">
        <v>54</v>
      </c>
      <c r="AX151" t="s">
        <v>74</v>
      </c>
      <c r="AY151" t="s">
        <v>74</v>
      </c>
      <c r="AZ151" t="s">
        <v>74</v>
      </c>
      <c r="BA151" t="s">
        <v>74</v>
      </c>
      <c r="BB151">
        <v>203</v>
      </c>
      <c r="BC151">
        <v>207</v>
      </c>
      <c r="BD151" t="s">
        <v>74</v>
      </c>
      <c r="BE151" t="s">
        <v>74</v>
      </c>
      <c r="BF151" t="s">
        <v>74</v>
      </c>
      <c r="BG151" t="s">
        <v>74</v>
      </c>
      <c r="BH151" t="s">
        <v>74</v>
      </c>
      <c r="BI151">
        <v>5</v>
      </c>
      <c r="BJ151" t="s">
        <v>1426</v>
      </c>
      <c r="BK151" t="s">
        <v>1537</v>
      </c>
      <c r="BL151" t="s">
        <v>1426</v>
      </c>
      <c r="BM151" t="s">
        <v>2770</v>
      </c>
      <c r="BN151" t="s">
        <v>74</v>
      </c>
      <c r="BO151" t="s">
        <v>74</v>
      </c>
      <c r="BP151" t="s">
        <v>74</v>
      </c>
      <c r="BQ151" t="s">
        <v>74</v>
      </c>
      <c r="BR151" t="s">
        <v>100</v>
      </c>
      <c r="BS151" t="s">
        <v>2771</v>
      </c>
      <c r="BT151" t="str">
        <f>HYPERLINK("https%3A%2F%2Fwww.webofscience.com%2Fwos%2Fwoscc%2Ffull-record%2FWOS:000310856900022","View Full Record in Web of Science")</f>
        <v>View Full Record in Web of Science</v>
      </c>
    </row>
    <row r="152" spans="1:72" x14ac:dyDescent="0.15">
      <c r="A152" t="s">
        <v>72</v>
      </c>
      <c r="B152" t="s">
        <v>2772</v>
      </c>
      <c r="C152" t="s">
        <v>74</v>
      </c>
      <c r="D152" t="s">
        <v>74</v>
      </c>
      <c r="E152" t="s">
        <v>74</v>
      </c>
      <c r="F152" t="s">
        <v>2773</v>
      </c>
      <c r="G152" t="s">
        <v>74</v>
      </c>
      <c r="H152" t="s">
        <v>74</v>
      </c>
      <c r="I152" t="s">
        <v>2774</v>
      </c>
      <c r="J152" t="s">
        <v>2775</v>
      </c>
      <c r="K152" t="s">
        <v>74</v>
      </c>
      <c r="L152" t="s">
        <v>74</v>
      </c>
      <c r="M152" t="s">
        <v>78</v>
      </c>
      <c r="N152" t="s">
        <v>79</v>
      </c>
      <c r="O152" t="s">
        <v>74</v>
      </c>
      <c r="P152" t="s">
        <v>74</v>
      </c>
      <c r="Q152" t="s">
        <v>74</v>
      </c>
      <c r="R152" t="s">
        <v>74</v>
      </c>
      <c r="S152" t="s">
        <v>74</v>
      </c>
      <c r="T152" t="s">
        <v>2776</v>
      </c>
      <c r="U152" t="s">
        <v>2777</v>
      </c>
      <c r="V152" t="s">
        <v>2778</v>
      </c>
      <c r="W152" t="s">
        <v>2779</v>
      </c>
      <c r="X152" t="s">
        <v>2780</v>
      </c>
      <c r="Y152" t="s">
        <v>2781</v>
      </c>
      <c r="Z152" t="s">
        <v>2782</v>
      </c>
      <c r="AA152" t="s">
        <v>74</v>
      </c>
      <c r="AB152" t="s">
        <v>74</v>
      </c>
      <c r="AC152" t="s">
        <v>74</v>
      </c>
      <c r="AD152" t="s">
        <v>74</v>
      </c>
      <c r="AE152" t="s">
        <v>74</v>
      </c>
      <c r="AF152" t="s">
        <v>74</v>
      </c>
      <c r="AG152">
        <v>28</v>
      </c>
      <c r="AH152">
        <v>3</v>
      </c>
      <c r="AI152">
        <v>3</v>
      </c>
      <c r="AJ152">
        <v>0</v>
      </c>
      <c r="AK152">
        <v>0</v>
      </c>
      <c r="AL152" t="s">
        <v>2783</v>
      </c>
      <c r="AM152" t="s">
        <v>2784</v>
      </c>
      <c r="AN152" t="s">
        <v>2785</v>
      </c>
      <c r="AO152" t="s">
        <v>2786</v>
      </c>
      <c r="AP152" t="s">
        <v>2787</v>
      </c>
      <c r="AQ152" t="s">
        <v>74</v>
      </c>
      <c r="AR152" t="s">
        <v>2788</v>
      </c>
      <c r="AS152" t="s">
        <v>2789</v>
      </c>
      <c r="AT152" t="s">
        <v>74</v>
      </c>
      <c r="AU152">
        <v>2008</v>
      </c>
      <c r="AV152">
        <v>11</v>
      </c>
      <c r="AW152" t="s">
        <v>74</v>
      </c>
      <c r="AX152" t="s">
        <v>74</v>
      </c>
      <c r="AY152" t="s">
        <v>74</v>
      </c>
      <c r="AZ152" t="s">
        <v>74</v>
      </c>
      <c r="BA152" t="s">
        <v>74</v>
      </c>
      <c r="BB152">
        <v>139</v>
      </c>
      <c r="BC152">
        <v>151</v>
      </c>
      <c r="BD152" t="s">
        <v>74</v>
      </c>
      <c r="BE152" t="s">
        <v>74</v>
      </c>
      <c r="BF152" t="s">
        <v>74</v>
      </c>
      <c r="BG152" t="s">
        <v>74</v>
      </c>
      <c r="BH152" t="s">
        <v>74</v>
      </c>
      <c r="BI152">
        <v>13</v>
      </c>
      <c r="BJ152" t="s">
        <v>351</v>
      </c>
      <c r="BK152" t="s">
        <v>2166</v>
      </c>
      <c r="BL152" t="s">
        <v>351</v>
      </c>
      <c r="BM152" t="s">
        <v>2790</v>
      </c>
      <c r="BN152" t="s">
        <v>74</v>
      </c>
      <c r="BO152" t="s">
        <v>74</v>
      </c>
      <c r="BP152" t="s">
        <v>74</v>
      </c>
      <c r="BQ152" t="s">
        <v>74</v>
      </c>
      <c r="BR152" t="s">
        <v>100</v>
      </c>
      <c r="BS152" t="s">
        <v>2791</v>
      </c>
      <c r="BT152" t="str">
        <f>HYPERLINK("https%3A%2F%2Fwww.webofscience.com%2Fwos%2Fwoscc%2Ffull-record%2FWOS:000433836700012","View Full Record in Web of Science")</f>
        <v>View Full Record in Web of Science</v>
      </c>
    </row>
    <row r="153" spans="1:72" x14ac:dyDescent="0.15">
      <c r="A153" t="s">
        <v>72</v>
      </c>
      <c r="B153" t="s">
        <v>2792</v>
      </c>
      <c r="C153" t="s">
        <v>74</v>
      </c>
      <c r="D153" t="s">
        <v>74</v>
      </c>
      <c r="E153" t="s">
        <v>74</v>
      </c>
      <c r="F153" t="s">
        <v>2793</v>
      </c>
      <c r="G153" t="s">
        <v>74</v>
      </c>
      <c r="H153" t="s">
        <v>74</v>
      </c>
      <c r="I153" t="s">
        <v>2794</v>
      </c>
      <c r="J153" t="s">
        <v>2795</v>
      </c>
      <c r="K153" t="s">
        <v>74</v>
      </c>
      <c r="L153" t="s">
        <v>74</v>
      </c>
      <c r="M153" t="s">
        <v>78</v>
      </c>
      <c r="N153" t="s">
        <v>79</v>
      </c>
      <c r="O153" t="s">
        <v>74</v>
      </c>
      <c r="P153" t="s">
        <v>74</v>
      </c>
      <c r="Q153" t="s">
        <v>74</v>
      </c>
      <c r="R153" t="s">
        <v>74</v>
      </c>
      <c r="S153" t="s">
        <v>74</v>
      </c>
      <c r="T153" t="s">
        <v>2796</v>
      </c>
      <c r="U153" t="s">
        <v>2797</v>
      </c>
      <c r="V153" t="s">
        <v>2798</v>
      </c>
      <c r="W153" t="s">
        <v>2799</v>
      </c>
      <c r="X153" t="s">
        <v>164</v>
      </c>
      <c r="Y153" t="s">
        <v>2800</v>
      </c>
      <c r="Z153" t="s">
        <v>2801</v>
      </c>
      <c r="AA153" t="s">
        <v>74</v>
      </c>
      <c r="AB153" t="s">
        <v>74</v>
      </c>
      <c r="AC153" t="s">
        <v>74</v>
      </c>
      <c r="AD153" t="s">
        <v>74</v>
      </c>
      <c r="AE153" t="s">
        <v>74</v>
      </c>
      <c r="AF153" t="s">
        <v>74</v>
      </c>
      <c r="AG153">
        <v>34</v>
      </c>
      <c r="AH153">
        <v>21</v>
      </c>
      <c r="AI153">
        <v>21</v>
      </c>
      <c r="AJ153">
        <v>1</v>
      </c>
      <c r="AK153">
        <v>6</v>
      </c>
      <c r="AL153" t="s">
        <v>2802</v>
      </c>
      <c r="AM153" t="s">
        <v>2803</v>
      </c>
      <c r="AN153" t="s">
        <v>2804</v>
      </c>
      <c r="AO153" t="s">
        <v>2805</v>
      </c>
      <c r="AP153" t="s">
        <v>74</v>
      </c>
      <c r="AQ153" t="s">
        <v>74</v>
      </c>
      <c r="AR153" t="s">
        <v>2806</v>
      </c>
      <c r="AS153" t="s">
        <v>2807</v>
      </c>
      <c r="AT153" t="s">
        <v>74</v>
      </c>
      <c r="AU153">
        <v>2008</v>
      </c>
      <c r="AV153">
        <v>15</v>
      </c>
      <c r="AW153" t="s">
        <v>74</v>
      </c>
      <c r="AX153" t="s">
        <v>74</v>
      </c>
      <c r="AY153" t="s">
        <v>74</v>
      </c>
      <c r="AZ153" t="s">
        <v>74</v>
      </c>
      <c r="BA153" t="s">
        <v>74</v>
      </c>
      <c r="BB153">
        <v>1</v>
      </c>
      <c r="BC153">
        <v>34</v>
      </c>
      <c r="BD153" t="s">
        <v>74</v>
      </c>
      <c r="BE153" t="s">
        <v>74</v>
      </c>
      <c r="BF153" t="s">
        <v>74</v>
      </c>
      <c r="BG153" t="s">
        <v>74</v>
      </c>
      <c r="BH153" t="s">
        <v>74</v>
      </c>
      <c r="BI153">
        <v>34</v>
      </c>
      <c r="BJ153" t="s">
        <v>2808</v>
      </c>
      <c r="BK153" t="s">
        <v>97</v>
      </c>
      <c r="BL153" t="s">
        <v>2808</v>
      </c>
      <c r="BM153" t="s">
        <v>2809</v>
      </c>
      <c r="BN153" t="s">
        <v>74</v>
      </c>
      <c r="BO153" t="s">
        <v>74</v>
      </c>
      <c r="BP153" t="s">
        <v>74</v>
      </c>
      <c r="BQ153" t="s">
        <v>74</v>
      </c>
      <c r="BR153" t="s">
        <v>100</v>
      </c>
      <c r="BS153" t="s">
        <v>2810</v>
      </c>
      <c r="BT153" t="str">
        <f>HYPERLINK("https%3A%2F%2Fwww.webofscience.com%2Fwos%2Fwoscc%2Ffull-record%2FWOS:000261465700001","View Full Record in Web of Science")</f>
        <v>View Full Record in Web of Science</v>
      </c>
    </row>
    <row r="154" spans="1:72" x14ac:dyDescent="0.15">
      <c r="A154" t="s">
        <v>72</v>
      </c>
      <c r="B154" t="s">
        <v>2811</v>
      </c>
      <c r="C154" t="s">
        <v>74</v>
      </c>
      <c r="D154" t="s">
        <v>74</v>
      </c>
      <c r="E154" t="s">
        <v>74</v>
      </c>
      <c r="F154" t="s">
        <v>2812</v>
      </c>
      <c r="G154" t="s">
        <v>74</v>
      </c>
      <c r="H154" t="s">
        <v>74</v>
      </c>
      <c r="I154" t="s">
        <v>2813</v>
      </c>
      <c r="J154" t="s">
        <v>2795</v>
      </c>
      <c r="K154" t="s">
        <v>74</v>
      </c>
      <c r="L154" t="s">
        <v>74</v>
      </c>
      <c r="M154" t="s">
        <v>78</v>
      </c>
      <c r="N154" t="s">
        <v>79</v>
      </c>
      <c r="O154" t="s">
        <v>74</v>
      </c>
      <c r="P154" t="s">
        <v>74</v>
      </c>
      <c r="Q154" t="s">
        <v>74</v>
      </c>
      <c r="R154" t="s">
        <v>74</v>
      </c>
      <c r="S154" t="s">
        <v>74</v>
      </c>
      <c r="T154" t="s">
        <v>2814</v>
      </c>
      <c r="U154" t="s">
        <v>2815</v>
      </c>
      <c r="V154" t="s">
        <v>2816</v>
      </c>
      <c r="W154" t="s">
        <v>2817</v>
      </c>
      <c r="X154" t="s">
        <v>2818</v>
      </c>
      <c r="Y154" t="s">
        <v>2819</v>
      </c>
      <c r="Z154" t="s">
        <v>2820</v>
      </c>
      <c r="AA154" t="s">
        <v>2821</v>
      </c>
      <c r="AB154" t="s">
        <v>2822</v>
      </c>
      <c r="AC154" t="s">
        <v>2823</v>
      </c>
      <c r="AD154" t="s">
        <v>2824</v>
      </c>
      <c r="AE154" t="s">
        <v>2825</v>
      </c>
      <c r="AF154" t="s">
        <v>74</v>
      </c>
      <c r="AG154">
        <v>40</v>
      </c>
      <c r="AH154">
        <v>65</v>
      </c>
      <c r="AI154">
        <v>75</v>
      </c>
      <c r="AJ154">
        <v>1</v>
      </c>
      <c r="AK154">
        <v>19</v>
      </c>
      <c r="AL154" t="s">
        <v>2802</v>
      </c>
      <c r="AM154" t="s">
        <v>2803</v>
      </c>
      <c r="AN154" t="s">
        <v>2804</v>
      </c>
      <c r="AO154" t="s">
        <v>2805</v>
      </c>
      <c r="AP154" t="s">
        <v>74</v>
      </c>
      <c r="AQ154" t="s">
        <v>74</v>
      </c>
      <c r="AR154" t="s">
        <v>2806</v>
      </c>
      <c r="AS154" t="s">
        <v>2807</v>
      </c>
      <c r="AT154" t="s">
        <v>74</v>
      </c>
      <c r="AU154">
        <v>2008</v>
      </c>
      <c r="AV154">
        <v>15</v>
      </c>
      <c r="AW154" t="s">
        <v>74</v>
      </c>
      <c r="AX154" t="s">
        <v>74</v>
      </c>
      <c r="AY154" t="s">
        <v>74</v>
      </c>
      <c r="AZ154" t="s">
        <v>74</v>
      </c>
      <c r="BA154" t="s">
        <v>74</v>
      </c>
      <c r="BB154">
        <v>35</v>
      </c>
      <c r="BC154">
        <v>53</v>
      </c>
      <c r="BD154" t="s">
        <v>74</v>
      </c>
      <c r="BE154" t="s">
        <v>74</v>
      </c>
      <c r="BF154" t="s">
        <v>74</v>
      </c>
      <c r="BG154" t="s">
        <v>74</v>
      </c>
      <c r="BH154" t="s">
        <v>74</v>
      </c>
      <c r="BI154">
        <v>19</v>
      </c>
      <c r="BJ154" t="s">
        <v>2808</v>
      </c>
      <c r="BK154" t="s">
        <v>97</v>
      </c>
      <c r="BL154" t="s">
        <v>2808</v>
      </c>
      <c r="BM154" t="s">
        <v>2809</v>
      </c>
      <c r="BN154" t="s">
        <v>74</v>
      </c>
      <c r="BO154" t="s">
        <v>74</v>
      </c>
      <c r="BP154" t="s">
        <v>74</v>
      </c>
      <c r="BQ154" t="s">
        <v>74</v>
      </c>
      <c r="BR154" t="s">
        <v>100</v>
      </c>
      <c r="BS154" t="s">
        <v>2826</v>
      </c>
      <c r="BT154" t="str">
        <f>HYPERLINK("https%3A%2F%2Fwww.webofscience.com%2Fwos%2Fwoscc%2Ffull-record%2FWOS:000261465700002","View Full Record in Web of Science")</f>
        <v>View Full Record in Web of Science</v>
      </c>
    </row>
    <row r="155" spans="1:72" x14ac:dyDescent="0.15">
      <c r="A155" t="s">
        <v>72</v>
      </c>
      <c r="B155" t="s">
        <v>2827</v>
      </c>
      <c r="C155" t="s">
        <v>74</v>
      </c>
      <c r="D155" t="s">
        <v>74</v>
      </c>
      <c r="E155" t="s">
        <v>74</v>
      </c>
      <c r="F155" t="s">
        <v>2828</v>
      </c>
      <c r="G155" t="s">
        <v>74</v>
      </c>
      <c r="H155" t="s">
        <v>74</v>
      </c>
      <c r="I155" t="s">
        <v>2829</v>
      </c>
      <c r="J155" t="s">
        <v>2795</v>
      </c>
      <c r="K155" t="s">
        <v>74</v>
      </c>
      <c r="L155" t="s">
        <v>74</v>
      </c>
      <c r="M155" t="s">
        <v>78</v>
      </c>
      <c r="N155" t="s">
        <v>79</v>
      </c>
      <c r="O155" t="s">
        <v>74</v>
      </c>
      <c r="P155" t="s">
        <v>74</v>
      </c>
      <c r="Q155" t="s">
        <v>74</v>
      </c>
      <c r="R155" t="s">
        <v>74</v>
      </c>
      <c r="S155" t="s">
        <v>74</v>
      </c>
      <c r="T155" t="s">
        <v>2830</v>
      </c>
      <c r="U155" t="s">
        <v>74</v>
      </c>
      <c r="V155" t="s">
        <v>2831</v>
      </c>
      <c r="W155" t="s">
        <v>2832</v>
      </c>
      <c r="X155" t="s">
        <v>164</v>
      </c>
      <c r="Y155" t="s">
        <v>2833</v>
      </c>
      <c r="Z155" t="s">
        <v>2834</v>
      </c>
      <c r="AA155" t="s">
        <v>74</v>
      </c>
      <c r="AB155" t="s">
        <v>2835</v>
      </c>
      <c r="AC155" t="s">
        <v>74</v>
      </c>
      <c r="AD155" t="s">
        <v>74</v>
      </c>
      <c r="AE155" t="s">
        <v>74</v>
      </c>
      <c r="AF155" t="s">
        <v>74</v>
      </c>
      <c r="AG155">
        <v>16</v>
      </c>
      <c r="AH155">
        <v>10</v>
      </c>
      <c r="AI155">
        <v>10</v>
      </c>
      <c r="AJ155">
        <v>0</v>
      </c>
      <c r="AK155">
        <v>3</v>
      </c>
      <c r="AL155" t="s">
        <v>2802</v>
      </c>
      <c r="AM155" t="s">
        <v>2803</v>
      </c>
      <c r="AN155" t="s">
        <v>2804</v>
      </c>
      <c r="AO155" t="s">
        <v>2805</v>
      </c>
      <c r="AP155" t="s">
        <v>74</v>
      </c>
      <c r="AQ155" t="s">
        <v>74</v>
      </c>
      <c r="AR155" t="s">
        <v>2806</v>
      </c>
      <c r="AS155" t="s">
        <v>2807</v>
      </c>
      <c r="AT155" t="s">
        <v>74</v>
      </c>
      <c r="AU155">
        <v>2008</v>
      </c>
      <c r="AV155">
        <v>15</v>
      </c>
      <c r="AW155" t="s">
        <v>74</v>
      </c>
      <c r="AX155" t="s">
        <v>74</v>
      </c>
      <c r="AY155" t="s">
        <v>74</v>
      </c>
      <c r="AZ155" t="s">
        <v>74</v>
      </c>
      <c r="BA155" t="s">
        <v>74</v>
      </c>
      <c r="BB155">
        <v>55</v>
      </c>
      <c r="BC155">
        <v>78</v>
      </c>
      <c r="BD155" t="s">
        <v>74</v>
      </c>
      <c r="BE155" t="s">
        <v>74</v>
      </c>
      <c r="BF155" t="s">
        <v>74</v>
      </c>
      <c r="BG155" t="s">
        <v>74</v>
      </c>
      <c r="BH155" t="s">
        <v>74</v>
      </c>
      <c r="BI155">
        <v>24</v>
      </c>
      <c r="BJ155" t="s">
        <v>2808</v>
      </c>
      <c r="BK155" t="s">
        <v>97</v>
      </c>
      <c r="BL155" t="s">
        <v>2808</v>
      </c>
      <c r="BM155" t="s">
        <v>2809</v>
      </c>
      <c r="BN155" t="s">
        <v>74</v>
      </c>
      <c r="BO155" t="s">
        <v>74</v>
      </c>
      <c r="BP155" t="s">
        <v>74</v>
      </c>
      <c r="BQ155" t="s">
        <v>74</v>
      </c>
      <c r="BR155" t="s">
        <v>100</v>
      </c>
      <c r="BS155" t="s">
        <v>2836</v>
      </c>
      <c r="BT155" t="str">
        <f>HYPERLINK("https%3A%2F%2Fwww.webofscience.com%2Fwos%2Fwoscc%2Ffull-record%2FWOS:000261465700003","View Full Record in Web of Science")</f>
        <v>View Full Record in Web of Science</v>
      </c>
    </row>
    <row r="156" spans="1:72" x14ac:dyDescent="0.15">
      <c r="A156" t="s">
        <v>72</v>
      </c>
      <c r="B156" t="s">
        <v>2837</v>
      </c>
      <c r="C156" t="s">
        <v>74</v>
      </c>
      <c r="D156" t="s">
        <v>74</v>
      </c>
      <c r="E156" t="s">
        <v>74</v>
      </c>
      <c r="F156" t="s">
        <v>2838</v>
      </c>
      <c r="G156" t="s">
        <v>74</v>
      </c>
      <c r="H156" t="s">
        <v>74</v>
      </c>
      <c r="I156" t="s">
        <v>2839</v>
      </c>
      <c r="J156" t="s">
        <v>2795</v>
      </c>
      <c r="K156" t="s">
        <v>74</v>
      </c>
      <c r="L156" t="s">
        <v>74</v>
      </c>
      <c r="M156" t="s">
        <v>78</v>
      </c>
      <c r="N156" t="s">
        <v>79</v>
      </c>
      <c r="O156" t="s">
        <v>74</v>
      </c>
      <c r="P156" t="s">
        <v>74</v>
      </c>
      <c r="Q156" t="s">
        <v>74</v>
      </c>
      <c r="R156" t="s">
        <v>74</v>
      </c>
      <c r="S156" t="s">
        <v>74</v>
      </c>
      <c r="T156" t="s">
        <v>2840</v>
      </c>
      <c r="U156" t="s">
        <v>74</v>
      </c>
      <c r="V156" t="s">
        <v>2841</v>
      </c>
      <c r="W156" t="s">
        <v>2842</v>
      </c>
      <c r="X156" t="s">
        <v>2843</v>
      </c>
      <c r="Y156" t="s">
        <v>2844</v>
      </c>
      <c r="Z156" t="s">
        <v>2845</v>
      </c>
      <c r="AA156" t="s">
        <v>74</v>
      </c>
      <c r="AB156" t="s">
        <v>74</v>
      </c>
      <c r="AC156" t="s">
        <v>74</v>
      </c>
      <c r="AD156" t="s">
        <v>74</v>
      </c>
      <c r="AE156" t="s">
        <v>74</v>
      </c>
      <c r="AF156" t="s">
        <v>74</v>
      </c>
      <c r="AG156">
        <v>11</v>
      </c>
      <c r="AH156">
        <v>8</v>
      </c>
      <c r="AI156">
        <v>8</v>
      </c>
      <c r="AJ156">
        <v>0</v>
      </c>
      <c r="AK156">
        <v>4</v>
      </c>
      <c r="AL156" t="s">
        <v>2802</v>
      </c>
      <c r="AM156" t="s">
        <v>2803</v>
      </c>
      <c r="AN156" t="s">
        <v>2804</v>
      </c>
      <c r="AO156" t="s">
        <v>2805</v>
      </c>
      <c r="AP156" t="s">
        <v>74</v>
      </c>
      <c r="AQ156" t="s">
        <v>74</v>
      </c>
      <c r="AR156" t="s">
        <v>2806</v>
      </c>
      <c r="AS156" t="s">
        <v>2807</v>
      </c>
      <c r="AT156" t="s">
        <v>74</v>
      </c>
      <c r="AU156">
        <v>2008</v>
      </c>
      <c r="AV156">
        <v>15</v>
      </c>
      <c r="AW156" t="s">
        <v>74</v>
      </c>
      <c r="AX156" t="s">
        <v>74</v>
      </c>
      <c r="AY156" t="s">
        <v>74</v>
      </c>
      <c r="AZ156" t="s">
        <v>74</v>
      </c>
      <c r="BA156" t="s">
        <v>74</v>
      </c>
      <c r="BB156">
        <v>93</v>
      </c>
      <c r="BC156">
        <v>106</v>
      </c>
      <c r="BD156" t="s">
        <v>74</v>
      </c>
      <c r="BE156" t="s">
        <v>74</v>
      </c>
      <c r="BF156" t="s">
        <v>74</v>
      </c>
      <c r="BG156" t="s">
        <v>74</v>
      </c>
      <c r="BH156" t="s">
        <v>74</v>
      </c>
      <c r="BI156">
        <v>14</v>
      </c>
      <c r="BJ156" t="s">
        <v>2808</v>
      </c>
      <c r="BK156" t="s">
        <v>97</v>
      </c>
      <c r="BL156" t="s">
        <v>2808</v>
      </c>
      <c r="BM156" t="s">
        <v>2809</v>
      </c>
      <c r="BN156" t="s">
        <v>74</v>
      </c>
      <c r="BO156" t="s">
        <v>74</v>
      </c>
      <c r="BP156" t="s">
        <v>74</v>
      </c>
      <c r="BQ156" t="s">
        <v>74</v>
      </c>
      <c r="BR156" t="s">
        <v>100</v>
      </c>
      <c r="BS156" t="s">
        <v>2846</v>
      </c>
      <c r="BT156" t="str">
        <f>HYPERLINK("https%3A%2F%2Fwww.webofscience.com%2Fwos%2Fwoscc%2Ffull-record%2FWOS:000261465700005","View Full Record in Web of Science")</f>
        <v>View Full Record in Web of Science</v>
      </c>
    </row>
    <row r="157" spans="1:72" x14ac:dyDescent="0.15">
      <c r="A157" t="s">
        <v>72</v>
      </c>
      <c r="B157" t="s">
        <v>2847</v>
      </c>
      <c r="C157" t="s">
        <v>74</v>
      </c>
      <c r="D157" t="s">
        <v>74</v>
      </c>
      <c r="E157" t="s">
        <v>74</v>
      </c>
      <c r="F157" t="s">
        <v>2848</v>
      </c>
      <c r="G157" t="s">
        <v>74</v>
      </c>
      <c r="H157" t="s">
        <v>74</v>
      </c>
      <c r="I157" t="s">
        <v>2849</v>
      </c>
      <c r="J157" t="s">
        <v>2795</v>
      </c>
      <c r="K157" t="s">
        <v>74</v>
      </c>
      <c r="L157" t="s">
        <v>74</v>
      </c>
      <c r="M157" t="s">
        <v>78</v>
      </c>
      <c r="N157" t="s">
        <v>79</v>
      </c>
      <c r="O157" t="s">
        <v>74</v>
      </c>
      <c r="P157" t="s">
        <v>74</v>
      </c>
      <c r="Q157" t="s">
        <v>74</v>
      </c>
      <c r="R157" t="s">
        <v>74</v>
      </c>
      <c r="S157" t="s">
        <v>74</v>
      </c>
      <c r="T157" t="s">
        <v>2850</v>
      </c>
      <c r="U157" t="s">
        <v>2851</v>
      </c>
      <c r="V157" t="s">
        <v>2852</v>
      </c>
      <c r="W157" t="s">
        <v>2853</v>
      </c>
      <c r="X157" t="s">
        <v>164</v>
      </c>
      <c r="Y157" t="s">
        <v>2844</v>
      </c>
      <c r="Z157" t="s">
        <v>2845</v>
      </c>
      <c r="AA157" t="s">
        <v>74</v>
      </c>
      <c r="AB157" t="s">
        <v>74</v>
      </c>
      <c r="AC157" t="s">
        <v>74</v>
      </c>
      <c r="AD157" t="s">
        <v>74</v>
      </c>
      <c r="AE157" t="s">
        <v>74</v>
      </c>
      <c r="AF157" t="s">
        <v>74</v>
      </c>
      <c r="AG157">
        <v>13</v>
      </c>
      <c r="AH157">
        <v>2</v>
      </c>
      <c r="AI157">
        <v>2</v>
      </c>
      <c r="AJ157">
        <v>0</v>
      </c>
      <c r="AK157">
        <v>1</v>
      </c>
      <c r="AL157" t="s">
        <v>2802</v>
      </c>
      <c r="AM157" t="s">
        <v>2803</v>
      </c>
      <c r="AN157" t="s">
        <v>2804</v>
      </c>
      <c r="AO157" t="s">
        <v>2805</v>
      </c>
      <c r="AP157" t="s">
        <v>74</v>
      </c>
      <c r="AQ157" t="s">
        <v>74</v>
      </c>
      <c r="AR157" t="s">
        <v>2806</v>
      </c>
      <c r="AS157" t="s">
        <v>2807</v>
      </c>
      <c r="AT157" t="s">
        <v>74</v>
      </c>
      <c r="AU157">
        <v>2008</v>
      </c>
      <c r="AV157">
        <v>15</v>
      </c>
      <c r="AW157" t="s">
        <v>74</v>
      </c>
      <c r="AX157" t="s">
        <v>74</v>
      </c>
      <c r="AY157" t="s">
        <v>74</v>
      </c>
      <c r="AZ157" t="s">
        <v>74</v>
      </c>
      <c r="BA157" t="s">
        <v>74</v>
      </c>
      <c r="BB157">
        <v>107</v>
      </c>
      <c r="BC157">
        <v>114</v>
      </c>
      <c r="BD157" t="s">
        <v>74</v>
      </c>
      <c r="BE157" t="s">
        <v>74</v>
      </c>
      <c r="BF157" t="s">
        <v>74</v>
      </c>
      <c r="BG157" t="s">
        <v>74</v>
      </c>
      <c r="BH157" t="s">
        <v>74</v>
      </c>
      <c r="BI157">
        <v>8</v>
      </c>
      <c r="BJ157" t="s">
        <v>2808</v>
      </c>
      <c r="BK157" t="s">
        <v>97</v>
      </c>
      <c r="BL157" t="s">
        <v>2808</v>
      </c>
      <c r="BM157" t="s">
        <v>2809</v>
      </c>
      <c r="BN157" t="s">
        <v>74</v>
      </c>
      <c r="BO157" t="s">
        <v>74</v>
      </c>
      <c r="BP157" t="s">
        <v>74</v>
      </c>
      <c r="BQ157" t="s">
        <v>74</v>
      </c>
      <c r="BR157" t="s">
        <v>100</v>
      </c>
      <c r="BS157" t="s">
        <v>2854</v>
      </c>
      <c r="BT157" t="str">
        <f>HYPERLINK("https%3A%2F%2Fwww.webofscience.com%2Fwos%2Fwoscc%2Ffull-record%2FWOS:000261465700006","View Full Record in Web of Science")</f>
        <v>View Full Record in Web of Science</v>
      </c>
    </row>
    <row r="158" spans="1:72" x14ac:dyDescent="0.15">
      <c r="A158" t="s">
        <v>72</v>
      </c>
      <c r="B158" t="s">
        <v>2855</v>
      </c>
      <c r="C158" t="s">
        <v>74</v>
      </c>
      <c r="D158" t="s">
        <v>74</v>
      </c>
      <c r="E158" t="s">
        <v>74</v>
      </c>
      <c r="F158" t="s">
        <v>2856</v>
      </c>
      <c r="G158" t="s">
        <v>74</v>
      </c>
      <c r="H158" t="s">
        <v>74</v>
      </c>
      <c r="I158" t="s">
        <v>2857</v>
      </c>
      <c r="J158" t="s">
        <v>2795</v>
      </c>
      <c r="K158" t="s">
        <v>74</v>
      </c>
      <c r="L158" t="s">
        <v>74</v>
      </c>
      <c r="M158" t="s">
        <v>78</v>
      </c>
      <c r="N158" t="s">
        <v>79</v>
      </c>
      <c r="O158" t="s">
        <v>74</v>
      </c>
      <c r="P158" t="s">
        <v>74</v>
      </c>
      <c r="Q158" t="s">
        <v>74</v>
      </c>
      <c r="R158" t="s">
        <v>74</v>
      </c>
      <c r="S158" t="s">
        <v>74</v>
      </c>
      <c r="T158" t="s">
        <v>2858</v>
      </c>
      <c r="U158" t="s">
        <v>2859</v>
      </c>
      <c r="V158" t="s">
        <v>2860</v>
      </c>
      <c r="W158" t="s">
        <v>2861</v>
      </c>
      <c r="X158" t="s">
        <v>164</v>
      </c>
      <c r="Y158" t="s">
        <v>2800</v>
      </c>
      <c r="Z158" t="s">
        <v>2801</v>
      </c>
      <c r="AA158" t="s">
        <v>74</v>
      </c>
      <c r="AB158" t="s">
        <v>74</v>
      </c>
      <c r="AC158" t="s">
        <v>74</v>
      </c>
      <c r="AD158" t="s">
        <v>74</v>
      </c>
      <c r="AE158" t="s">
        <v>74</v>
      </c>
      <c r="AF158" t="s">
        <v>74</v>
      </c>
      <c r="AG158">
        <v>22</v>
      </c>
      <c r="AH158">
        <v>10</v>
      </c>
      <c r="AI158">
        <v>12</v>
      </c>
      <c r="AJ158">
        <v>0</v>
      </c>
      <c r="AK158">
        <v>4</v>
      </c>
      <c r="AL158" t="s">
        <v>2802</v>
      </c>
      <c r="AM158" t="s">
        <v>2803</v>
      </c>
      <c r="AN158" t="s">
        <v>2804</v>
      </c>
      <c r="AO158" t="s">
        <v>2805</v>
      </c>
      <c r="AP158" t="s">
        <v>74</v>
      </c>
      <c r="AQ158" t="s">
        <v>74</v>
      </c>
      <c r="AR158" t="s">
        <v>2806</v>
      </c>
      <c r="AS158" t="s">
        <v>2807</v>
      </c>
      <c r="AT158" t="s">
        <v>74</v>
      </c>
      <c r="AU158">
        <v>2008</v>
      </c>
      <c r="AV158">
        <v>15</v>
      </c>
      <c r="AW158" t="s">
        <v>74</v>
      </c>
      <c r="AX158" t="s">
        <v>74</v>
      </c>
      <c r="AY158" t="s">
        <v>74</v>
      </c>
      <c r="AZ158" t="s">
        <v>74</v>
      </c>
      <c r="BA158" t="s">
        <v>74</v>
      </c>
      <c r="BB158">
        <v>115</v>
      </c>
      <c r="BC158">
        <v>138</v>
      </c>
      <c r="BD158" t="s">
        <v>74</v>
      </c>
      <c r="BE158" t="s">
        <v>74</v>
      </c>
      <c r="BF158" t="s">
        <v>74</v>
      </c>
      <c r="BG158" t="s">
        <v>74</v>
      </c>
      <c r="BH158" t="s">
        <v>74</v>
      </c>
      <c r="BI158">
        <v>24</v>
      </c>
      <c r="BJ158" t="s">
        <v>2808</v>
      </c>
      <c r="BK158" t="s">
        <v>97</v>
      </c>
      <c r="BL158" t="s">
        <v>2808</v>
      </c>
      <c r="BM158" t="s">
        <v>2809</v>
      </c>
      <c r="BN158" t="s">
        <v>74</v>
      </c>
      <c r="BO158" t="s">
        <v>74</v>
      </c>
      <c r="BP158" t="s">
        <v>74</v>
      </c>
      <c r="BQ158" t="s">
        <v>74</v>
      </c>
      <c r="BR158" t="s">
        <v>100</v>
      </c>
      <c r="BS158" t="s">
        <v>2862</v>
      </c>
      <c r="BT158" t="str">
        <f>HYPERLINK("https%3A%2F%2Fwww.webofscience.com%2Fwos%2Fwoscc%2Ffull-record%2FWOS:000261465700007","View Full Record in Web of Science")</f>
        <v>View Full Record in Web of Science</v>
      </c>
    </row>
    <row r="159" spans="1:72" x14ac:dyDescent="0.15">
      <c r="A159" t="s">
        <v>72</v>
      </c>
      <c r="B159" t="s">
        <v>2863</v>
      </c>
      <c r="C159" t="s">
        <v>74</v>
      </c>
      <c r="D159" t="s">
        <v>74</v>
      </c>
      <c r="E159" t="s">
        <v>74</v>
      </c>
      <c r="F159" t="s">
        <v>2864</v>
      </c>
      <c r="G159" t="s">
        <v>74</v>
      </c>
      <c r="H159" t="s">
        <v>74</v>
      </c>
      <c r="I159" t="s">
        <v>2865</v>
      </c>
      <c r="J159" t="s">
        <v>2795</v>
      </c>
      <c r="K159" t="s">
        <v>74</v>
      </c>
      <c r="L159" t="s">
        <v>74</v>
      </c>
      <c r="M159" t="s">
        <v>78</v>
      </c>
      <c r="N159" t="s">
        <v>79</v>
      </c>
      <c r="O159" t="s">
        <v>74</v>
      </c>
      <c r="P159" t="s">
        <v>74</v>
      </c>
      <c r="Q159" t="s">
        <v>74</v>
      </c>
      <c r="R159" t="s">
        <v>74</v>
      </c>
      <c r="S159" t="s">
        <v>74</v>
      </c>
      <c r="T159" t="s">
        <v>2866</v>
      </c>
      <c r="U159" t="s">
        <v>2867</v>
      </c>
      <c r="V159" t="s">
        <v>2868</v>
      </c>
      <c r="W159" t="s">
        <v>2869</v>
      </c>
      <c r="X159" t="s">
        <v>2818</v>
      </c>
      <c r="Y159" t="s">
        <v>2870</v>
      </c>
      <c r="Z159" t="s">
        <v>2871</v>
      </c>
      <c r="AA159" t="s">
        <v>74</v>
      </c>
      <c r="AB159" t="s">
        <v>2872</v>
      </c>
      <c r="AC159" t="s">
        <v>74</v>
      </c>
      <c r="AD159" t="s">
        <v>74</v>
      </c>
      <c r="AE159" t="s">
        <v>74</v>
      </c>
      <c r="AF159" t="s">
        <v>74</v>
      </c>
      <c r="AG159">
        <v>33</v>
      </c>
      <c r="AH159">
        <v>14</v>
      </c>
      <c r="AI159">
        <v>16</v>
      </c>
      <c r="AJ159">
        <v>1</v>
      </c>
      <c r="AK159">
        <v>9</v>
      </c>
      <c r="AL159" t="s">
        <v>2802</v>
      </c>
      <c r="AM159" t="s">
        <v>2803</v>
      </c>
      <c r="AN159" t="s">
        <v>2804</v>
      </c>
      <c r="AO159" t="s">
        <v>2805</v>
      </c>
      <c r="AP159" t="s">
        <v>74</v>
      </c>
      <c r="AQ159" t="s">
        <v>74</v>
      </c>
      <c r="AR159" t="s">
        <v>2806</v>
      </c>
      <c r="AS159" t="s">
        <v>2807</v>
      </c>
      <c r="AT159" t="s">
        <v>74</v>
      </c>
      <c r="AU159">
        <v>2008</v>
      </c>
      <c r="AV159">
        <v>15</v>
      </c>
      <c r="AW159" t="s">
        <v>74</v>
      </c>
      <c r="AX159" t="s">
        <v>74</v>
      </c>
      <c r="AY159" t="s">
        <v>74</v>
      </c>
      <c r="AZ159" t="s">
        <v>74</v>
      </c>
      <c r="BA159" t="s">
        <v>74</v>
      </c>
      <c r="BB159">
        <v>139</v>
      </c>
      <c r="BC159">
        <v>165</v>
      </c>
      <c r="BD159" t="s">
        <v>74</v>
      </c>
      <c r="BE159" t="s">
        <v>74</v>
      </c>
      <c r="BF159" t="s">
        <v>74</v>
      </c>
      <c r="BG159" t="s">
        <v>74</v>
      </c>
      <c r="BH159" t="s">
        <v>74</v>
      </c>
      <c r="BI159">
        <v>27</v>
      </c>
      <c r="BJ159" t="s">
        <v>2808</v>
      </c>
      <c r="BK159" t="s">
        <v>97</v>
      </c>
      <c r="BL159" t="s">
        <v>2808</v>
      </c>
      <c r="BM159" t="s">
        <v>2809</v>
      </c>
      <c r="BN159" t="s">
        <v>74</v>
      </c>
      <c r="BO159" t="s">
        <v>74</v>
      </c>
      <c r="BP159" t="s">
        <v>74</v>
      </c>
      <c r="BQ159" t="s">
        <v>74</v>
      </c>
      <c r="BR159" t="s">
        <v>100</v>
      </c>
      <c r="BS159" t="s">
        <v>2873</v>
      </c>
      <c r="BT159" t="str">
        <f>HYPERLINK("https%3A%2F%2Fwww.webofscience.com%2Fwos%2Fwoscc%2Ffull-record%2FWOS:000261465700008","View Full Record in Web of Science")</f>
        <v>View Full Record in Web of Science</v>
      </c>
    </row>
    <row r="160" spans="1:72" x14ac:dyDescent="0.15">
      <c r="A160" t="s">
        <v>72</v>
      </c>
      <c r="B160" t="s">
        <v>2874</v>
      </c>
      <c r="C160" t="s">
        <v>74</v>
      </c>
      <c r="D160" t="s">
        <v>74</v>
      </c>
      <c r="E160" t="s">
        <v>74</v>
      </c>
      <c r="F160" t="s">
        <v>2875</v>
      </c>
      <c r="G160" t="s">
        <v>74</v>
      </c>
      <c r="H160" t="s">
        <v>74</v>
      </c>
      <c r="I160" t="s">
        <v>2876</v>
      </c>
      <c r="J160" t="s">
        <v>2795</v>
      </c>
      <c r="K160" t="s">
        <v>74</v>
      </c>
      <c r="L160" t="s">
        <v>74</v>
      </c>
      <c r="M160" t="s">
        <v>78</v>
      </c>
      <c r="N160" t="s">
        <v>79</v>
      </c>
      <c r="O160" t="s">
        <v>74</v>
      </c>
      <c r="P160" t="s">
        <v>74</v>
      </c>
      <c r="Q160" t="s">
        <v>74</v>
      </c>
      <c r="R160" t="s">
        <v>74</v>
      </c>
      <c r="S160" t="s">
        <v>74</v>
      </c>
      <c r="T160" t="s">
        <v>2877</v>
      </c>
      <c r="U160" t="s">
        <v>2878</v>
      </c>
      <c r="V160" t="s">
        <v>2879</v>
      </c>
      <c r="W160" t="s">
        <v>2880</v>
      </c>
      <c r="X160" t="s">
        <v>2881</v>
      </c>
      <c r="Y160" t="s">
        <v>2882</v>
      </c>
      <c r="Z160" t="s">
        <v>2883</v>
      </c>
      <c r="AA160" t="s">
        <v>74</v>
      </c>
      <c r="AB160" t="s">
        <v>74</v>
      </c>
      <c r="AC160" t="s">
        <v>2884</v>
      </c>
      <c r="AD160" t="s">
        <v>2885</v>
      </c>
      <c r="AE160" t="s">
        <v>2886</v>
      </c>
      <c r="AF160" t="s">
        <v>74</v>
      </c>
      <c r="AG160">
        <v>28</v>
      </c>
      <c r="AH160">
        <v>30</v>
      </c>
      <c r="AI160">
        <v>34</v>
      </c>
      <c r="AJ160">
        <v>0</v>
      </c>
      <c r="AK160">
        <v>9</v>
      </c>
      <c r="AL160" t="s">
        <v>2802</v>
      </c>
      <c r="AM160" t="s">
        <v>2803</v>
      </c>
      <c r="AN160" t="s">
        <v>2804</v>
      </c>
      <c r="AO160" t="s">
        <v>2805</v>
      </c>
      <c r="AP160" t="s">
        <v>74</v>
      </c>
      <c r="AQ160" t="s">
        <v>74</v>
      </c>
      <c r="AR160" t="s">
        <v>2806</v>
      </c>
      <c r="AS160" t="s">
        <v>2807</v>
      </c>
      <c r="AT160" t="s">
        <v>74</v>
      </c>
      <c r="AU160">
        <v>2008</v>
      </c>
      <c r="AV160">
        <v>15</v>
      </c>
      <c r="AW160" t="s">
        <v>74</v>
      </c>
      <c r="AX160" t="s">
        <v>74</v>
      </c>
      <c r="AY160" t="s">
        <v>74</v>
      </c>
      <c r="AZ160" t="s">
        <v>74</v>
      </c>
      <c r="BA160" t="s">
        <v>74</v>
      </c>
      <c r="BB160">
        <v>167</v>
      </c>
      <c r="BC160">
        <v>192</v>
      </c>
      <c r="BD160" t="s">
        <v>74</v>
      </c>
      <c r="BE160" t="s">
        <v>74</v>
      </c>
      <c r="BF160" t="s">
        <v>74</v>
      </c>
      <c r="BG160" t="s">
        <v>74</v>
      </c>
      <c r="BH160" t="s">
        <v>74</v>
      </c>
      <c r="BI160">
        <v>26</v>
      </c>
      <c r="BJ160" t="s">
        <v>2808</v>
      </c>
      <c r="BK160" t="s">
        <v>97</v>
      </c>
      <c r="BL160" t="s">
        <v>2808</v>
      </c>
      <c r="BM160" t="s">
        <v>2809</v>
      </c>
      <c r="BN160" t="s">
        <v>74</v>
      </c>
      <c r="BO160" t="s">
        <v>74</v>
      </c>
      <c r="BP160" t="s">
        <v>74</v>
      </c>
      <c r="BQ160" t="s">
        <v>74</v>
      </c>
      <c r="BR160" t="s">
        <v>100</v>
      </c>
      <c r="BS160" t="s">
        <v>2887</v>
      </c>
      <c r="BT160" t="str">
        <f>HYPERLINK("https%3A%2F%2Fwww.webofscience.com%2Fwos%2Fwoscc%2Ffull-record%2FWOS:000261465700009","View Full Record in Web of Science")</f>
        <v>View Full Record in Web of Science</v>
      </c>
    </row>
    <row r="161" spans="1:72" x14ac:dyDescent="0.15">
      <c r="A161" t="s">
        <v>72</v>
      </c>
      <c r="B161" t="s">
        <v>2888</v>
      </c>
      <c r="C161" t="s">
        <v>74</v>
      </c>
      <c r="D161" t="s">
        <v>74</v>
      </c>
      <c r="E161" t="s">
        <v>74</v>
      </c>
      <c r="F161" t="s">
        <v>2889</v>
      </c>
      <c r="G161" t="s">
        <v>74</v>
      </c>
      <c r="H161" t="s">
        <v>74</v>
      </c>
      <c r="I161" t="s">
        <v>2890</v>
      </c>
      <c r="J161" t="s">
        <v>2795</v>
      </c>
      <c r="K161" t="s">
        <v>74</v>
      </c>
      <c r="L161" t="s">
        <v>74</v>
      </c>
      <c r="M161" t="s">
        <v>78</v>
      </c>
      <c r="N161" t="s">
        <v>2891</v>
      </c>
      <c r="O161" t="s">
        <v>74</v>
      </c>
      <c r="P161" t="s">
        <v>74</v>
      </c>
      <c r="Q161" t="s">
        <v>74</v>
      </c>
      <c r="R161" t="s">
        <v>74</v>
      </c>
      <c r="S161" t="s">
        <v>74</v>
      </c>
      <c r="T161" t="s">
        <v>74</v>
      </c>
      <c r="U161" t="s">
        <v>2892</v>
      </c>
      <c r="V161" t="s">
        <v>74</v>
      </c>
      <c r="W161" t="s">
        <v>2893</v>
      </c>
      <c r="X161" t="s">
        <v>2894</v>
      </c>
      <c r="Y161" t="s">
        <v>2895</v>
      </c>
      <c r="Z161" t="s">
        <v>2896</v>
      </c>
      <c r="AA161" t="s">
        <v>2897</v>
      </c>
      <c r="AB161" t="s">
        <v>2898</v>
      </c>
      <c r="AC161" t="s">
        <v>74</v>
      </c>
      <c r="AD161" t="s">
        <v>74</v>
      </c>
      <c r="AE161" t="s">
        <v>74</v>
      </c>
      <c r="AF161" t="s">
        <v>74</v>
      </c>
      <c r="AG161">
        <v>21</v>
      </c>
      <c r="AH161">
        <v>0</v>
      </c>
      <c r="AI161">
        <v>0</v>
      </c>
      <c r="AJ161">
        <v>0</v>
      </c>
      <c r="AK161">
        <v>5</v>
      </c>
      <c r="AL161" t="s">
        <v>2802</v>
      </c>
      <c r="AM161" t="s">
        <v>2803</v>
      </c>
      <c r="AN161" t="s">
        <v>2804</v>
      </c>
      <c r="AO161" t="s">
        <v>2805</v>
      </c>
      <c r="AP161" t="s">
        <v>74</v>
      </c>
      <c r="AQ161" t="s">
        <v>74</v>
      </c>
      <c r="AR161" t="s">
        <v>2806</v>
      </c>
      <c r="AS161" t="s">
        <v>2807</v>
      </c>
      <c r="AT161" t="s">
        <v>74</v>
      </c>
      <c r="AU161">
        <v>2008</v>
      </c>
      <c r="AV161">
        <v>15</v>
      </c>
      <c r="AW161" t="s">
        <v>74</v>
      </c>
      <c r="AX161" t="s">
        <v>74</v>
      </c>
      <c r="AY161" t="s">
        <v>74</v>
      </c>
      <c r="AZ161" t="s">
        <v>74</v>
      </c>
      <c r="BA161" t="s">
        <v>74</v>
      </c>
      <c r="BB161">
        <v>195</v>
      </c>
      <c r="BC161">
        <v>198</v>
      </c>
      <c r="BD161" t="s">
        <v>74</v>
      </c>
      <c r="BE161" t="s">
        <v>74</v>
      </c>
      <c r="BF161" t="s">
        <v>74</v>
      </c>
      <c r="BG161" t="s">
        <v>74</v>
      </c>
      <c r="BH161" t="s">
        <v>74</v>
      </c>
      <c r="BI161">
        <v>4</v>
      </c>
      <c r="BJ161" t="s">
        <v>2808</v>
      </c>
      <c r="BK161" t="s">
        <v>97</v>
      </c>
      <c r="BL161" t="s">
        <v>2808</v>
      </c>
      <c r="BM161" t="s">
        <v>2809</v>
      </c>
      <c r="BN161" t="s">
        <v>74</v>
      </c>
      <c r="BO161" t="s">
        <v>74</v>
      </c>
      <c r="BP161" t="s">
        <v>74</v>
      </c>
      <c r="BQ161" t="s">
        <v>74</v>
      </c>
      <c r="BR161" t="s">
        <v>100</v>
      </c>
      <c r="BS161" t="s">
        <v>2899</v>
      </c>
      <c r="BT161" t="str">
        <f>HYPERLINK("https%3A%2F%2Fwww.webofscience.com%2Fwos%2Fwoscc%2Ffull-record%2FWOS:000261465700011","View Full Record in Web of Science")</f>
        <v>View Full Record in Web of Science</v>
      </c>
    </row>
    <row r="162" spans="1:72" x14ac:dyDescent="0.15">
      <c r="A162" t="s">
        <v>72</v>
      </c>
      <c r="B162" t="s">
        <v>2900</v>
      </c>
      <c r="C162" t="s">
        <v>74</v>
      </c>
      <c r="D162" t="s">
        <v>74</v>
      </c>
      <c r="E162" t="s">
        <v>74</v>
      </c>
      <c r="F162" t="s">
        <v>2901</v>
      </c>
      <c r="G162" t="s">
        <v>74</v>
      </c>
      <c r="H162" t="s">
        <v>74</v>
      </c>
      <c r="I162" t="s">
        <v>2902</v>
      </c>
      <c r="J162" t="s">
        <v>2903</v>
      </c>
      <c r="K162" t="s">
        <v>74</v>
      </c>
      <c r="L162" t="s">
        <v>74</v>
      </c>
      <c r="M162" t="s">
        <v>78</v>
      </c>
      <c r="N162" t="s">
        <v>79</v>
      </c>
      <c r="O162" t="s">
        <v>74</v>
      </c>
      <c r="P162" t="s">
        <v>74</v>
      </c>
      <c r="Q162" t="s">
        <v>74</v>
      </c>
      <c r="R162" t="s">
        <v>74</v>
      </c>
      <c r="S162" t="s">
        <v>74</v>
      </c>
      <c r="T162" t="s">
        <v>74</v>
      </c>
      <c r="U162" t="s">
        <v>2904</v>
      </c>
      <c r="V162" t="s">
        <v>2905</v>
      </c>
      <c r="W162" t="s">
        <v>2906</v>
      </c>
      <c r="X162" t="s">
        <v>2907</v>
      </c>
      <c r="Y162" t="s">
        <v>2908</v>
      </c>
      <c r="Z162" t="s">
        <v>2909</v>
      </c>
      <c r="AA162" t="s">
        <v>2910</v>
      </c>
      <c r="AB162" t="s">
        <v>2911</v>
      </c>
      <c r="AC162" t="s">
        <v>2912</v>
      </c>
      <c r="AD162" t="s">
        <v>2913</v>
      </c>
      <c r="AE162" t="s">
        <v>2914</v>
      </c>
      <c r="AF162" t="s">
        <v>74</v>
      </c>
      <c r="AG162">
        <v>28</v>
      </c>
      <c r="AH162">
        <v>17</v>
      </c>
      <c r="AI162">
        <v>17</v>
      </c>
      <c r="AJ162">
        <v>0</v>
      </c>
      <c r="AK162">
        <v>12</v>
      </c>
      <c r="AL162" t="s">
        <v>2915</v>
      </c>
      <c r="AM162" t="s">
        <v>2916</v>
      </c>
      <c r="AN162" t="s">
        <v>2917</v>
      </c>
      <c r="AO162" t="s">
        <v>2918</v>
      </c>
      <c r="AP162" t="s">
        <v>2919</v>
      </c>
      <c r="AQ162" t="s">
        <v>74</v>
      </c>
      <c r="AR162" t="s">
        <v>2920</v>
      </c>
      <c r="AS162" t="s">
        <v>2921</v>
      </c>
      <c r="AT162" t="s">
        <v>74</v>
      </c>
      <c r="AU162">
        <v>2008</v>
      </c>
      <c r="AV162">
        <v>5</v>
      </c>
      <c r="AW162">
        <v>10</v>
      </c>
      <c r="AX162" t="s">
        <v>74</v>
      </c>
      <c r="AY162" t="s">
        <v>74</v>
      </c>
      <c r="AZ162" t="s">
        <v>74</v>
      </c>
      <c r="BA162" t="s">
        <v>74</v>
      </c>
      <c r="BB162">
        <v>2113</v>
      </c>
      <c r="BC162">
        <v>2123</v>
      </c>
      <c r="BD162" t="s">
        <v>74</v>
      </c>
      <c r="BE162" t="s">
        <v>2922</v>
      </c>
      <c r="BF162" t="str">
        <f>HYPERLINK("http://dx.doi.org/10.1002/cbdv.200890192","http://dx.doi.org/10.1002/cbdv.200890192")</f>
        <v>http://dx.doi.org/10.1002/cbdv.200890192</v>
      </c>
      <c r="BG162" t="s">
        <v>74</v>
      </c>
      <c r="BH162" t="s">
        <v>74</v>
      </c>
      <c r="BI162">
        <v>11</v>
      </c>
      <c r="BJ162" t="s">
        <v>2923</v>
      </c>
      <c r="BK162" t="s">
        <v>97</v>
      </c>
      <c r="BL162" t="s">
        <v>1493</v>
      </c>
      <c r="BM162" t="s">
        <v>2924</v>
      </c>
      <c r="BN162">
        <v>18972501</v>
      </c>
      <c r="BO162" t="s">
        <v>74</v>
      </c>
      <c r="BP162" t="s">
        <v>74</v>
      </c>
      <c r="BQ162" t="s">
        <v>74</v>
      </c>
      <c r="BR162" t="s">
        <v>100</v>
      </c>
      <c r="BS162" t="s">
        <v>2925</v>
      </c>
      <c r="BT162" t="str">
        <f>HYPERLINK("https%3A%2F%2Fwww.webofscience.com%2Fwos%2Fwoscc%2Ffull-record%2FWOS:000260920000015","View Full Record in Web of Science")</f>
        <v>View Full Record in Web of Science</v>
      </c>
    </row>
    <row r="163" spans="1:72" x14ac:dyDescent="0.15">
      <c r="A163" t="s">
        <v>72</v>
      </c>
      <c r="B163" t="s">
        <v>2926</v>
      </c>
      <c r="C163" t="s">
        <v>74</v>
      </c>
      <c r="D163" t="s">
        <v>74</v>
      </c>
      <c r="E163" t="s">
        <v>74</v>
      </c>
      <c r="F163" t="s">
        <v>2927</v>
      </c>
      <c r="G163" t="s">
        <v>74</v>
      </c>
      <c r="H163" t="s">
        <v>74</v>
      </c>
      <c r="I163" t="s">
        <v>2928</v>
      </c>
      <c r="J163" t="s">
        <v>2929</v>
      </c>
      <c r="K163" t="s">
        <v>74</v>
      </c>
      <c r="L163" t="s">
        <v>74</v>
      </c>
      <c r="M163" t="s">
        <v>2930</v>
      </c>
      <c r="N163" t="s">
        <v>79</v>
      </c>
      <c r="O163" t="s">
        <v>74</v>
      </c>
      <c r="P163" t="s">
        <v>74</v>
      </c>
      <c r="Q163" t="s">
        <v>74</v>
      </c>
      <c r="R163" t="s">
        <v>74</v>
      </c>
      <c r="S163" t="s">
        <v>74</v>
      </c>
      <c r="T163" t="s">
        <v>2931</v>
      </c>
      <c r="U163" t="s">
        <v>2932</v>
      </c>
      <c r="V163" t="s">
        <v>2933</v>
      </c>
      <c r="W163" t="s">
        <v>2934</v>
      </c>
      <c r="X163" t="s">
        <v>2935</v>
      </c>
      <c r="Y163" t="s">
        <v>2936</v>
      </c>
      <c r="Z163" t="s">
        <v>2937</v>
      </c>
      <c r="AA163" t="s">
        <v>1865</v>
      </c>
      <c r="AB163" t="s">
        <v>74</v>
      </c>
      <c r="AC163" t="s">
        <v>74</v>
      </c>
      <c r="AD163" t="s">
        <v>74</v>
      </c>
      <c r="AE163" t="s">
        <v>74</v>
      </c>
      <c r="AF163" t="s">
        <v>74</v>
      </c>
      <c r="AG163">
        <v>17</v>
      </c>
      <c r="AH163">
        <v>2</v>
      </c>
      <c r="AI163">
        <v>12</v>
      </c>
      <c r="AJ163">
        <v>0</v>
      </c>
      <c r="AK163">
        <v>2</v>
      </c>
      <c r="AL163" t="s">
        <v>2938</v>
      </c>
      <c r="AM163" t="s">
        <v>2939</v>
      </c>
      <c r="AN163" t="s">
        <v>2940</v>
      </c>
      <c r="AO163" t="s">
        <v>2941</v>
      </c>
      <c r="AP163" t="s">
        <v>74</v>
      </c>
      <c r="AQ163" t="s">
        <v>74</v>
      </c>
      <c r="AR163" t="s">
        <v>2942</v>
      </c>
      <c r="AS163" t="s">
        <v>2943</v>
      </c>
      <c r="AT163" t="s">
        <v>1490</v>
      </c>
      <c r="AU163">
        <v>2008</v>
      </c>
      <c r="AV163">
        <v>51</v>
      </c>
      <c r="AW163">
        <v>1</v>
      </c>
      <c r="AX163" t="s">
        <v>74</v>
      </c>
      <c r="AY163" t="s">
        <v>74</v>
      </c>
      <c r="AZ163" t="s">
        <v>74</v>
      </c>
      <c r="BA163" t="s">
        <v>74</v>
      </c>
      <c r="BB163">
        <v>17</v>
      </c>
      <c r="BC163">
        <v>24</v>
      </c>
      <c r="BD163" t="s">
        <v>74</v>
      </c>
      <c r="BE163" t="s">
        <v>74</v>
      </c>
      <c r="BF163" t="s">
        <v>74</v>
      </c>
      <c r="BG163" t="s">
        <v>74</v>
      </c>
      <c r="BH163" t="s">
        <v>74</v>
      </c>
      <c r="BI163">
        <v>8</v>
      </c>
      <c r="BJ163" t="s">
        <v>553</v>
      </c>
      <c r="BK163" t="s">
        <v>97</v>
      </c>
      <c r="BL163" t="s">
        <v>553</v>
      </c>
      <c r="BM163" t="s">
        <v>2944</v>
      </c>
      <c r="BN163" t="s">
        <v>74</v>
      </c>
      <c r="BO163" t="s">
        <v>74</v>
      </c>
      <c r="BP163" t="s">
        <v>74</v>
      </c>
      <c r="BQ163" t="s">
        <v>74</v>
      </c>
      <c r="BR163" t="s">
        <v>100</v>
      </c>
      <c r="BS163" t="s">
        <v>2945</v>
      </c>
      <c r="BT163" t="str">
        <f>HYPERLINK("https%3A%2F%2Fwww.webofscience.com%2Fwos%2Fwoscc%2Ffull-record%2FWOS:000252841900003","View Full Record in Web of Science")</f>
        <v>View Full Record in Web of Science</v>
      </c>
    </row>
    <row r="164" spans="1:72" x14ac:dyDescent="0.15">
      <c r="A164" t="s">
        <v>72</v>
      </c>
      <c r="B164" t="s">
        <v>2946</v>
      </c>
      <c r="C164" t="s">
        <v>74</v>
      </c>
      <c r="D164" t="s">
        <v>74</v>
      </c>
      <c r="E164" t="s">
        <v>74</v>
      </c>
      <c r="F164" t="s">
        <v>2947</v>
      </c>
      <c r="G164" t="s">
        <v>74</v>
      </c>
      <c r="H164" t="s">
        <v>74</v>
      </c>
      <c r="I164" t="s">
        <v>2948</v>
      </c>
      <c r="J164" t="s">
        <v>2949</v>
      </c>
      <c r="K164" t="s">
        <v>74</v>
      </c>
      <c r="L164" t="s">
        <v>74</v>
      </c>
      <c r="M164" t="s">
        <v>78</v>
      </c>
      <c r="N164" t="s">
        <v>79</v>
      </c>
      <c r="O164" t="s">
        <v>74</v>
      </c>
      <c r="P164" t="s">
        <v>74</v>
      </c>
      <c r="Q164" t="s">
        <v>74</v>
      </c>
      <c r="R164" t="s">
        <v>74</v>
      </c>
      <c r="S164" t="s">
        <v>74</v>
      </c>
      <c r="T164" t="s">
        <v>2950</v>
      </c>
      <c r="U164" t="s">
        <v>2951</v>
      </c>
      <c r="V164" t="s">
        <v>2952</v>
      </c>
      <c r="W164" t="s">
        <v>2953</v>
      </c>
      <c r="X164" t="s">
        <v>2954</v>
      </c>
      <c r="Y164" t="s">
        <v>2955</v>
      </c>
      <c r="Z164" t="s">
        <v>1848</v>
      </c>
      <c r="AA164" t="s">
        <v>2956</v>
      </c>
      <c r="AB164" t="s">
        <v>2957</v>
      </c>
      <c r="AC164" t="s">
        <v>74</v>
      </c>
      <c r="AD164" t="s">
        <v>74</v>
      </c>
      <c r="AE164" t="s">
        <v>74</v>
      </c>
      <c r="AF164" t="s">
        <v>74</v>
      </c>
      <c r="AG164">
        <v>26</v>
      </c>
      <c r="AH164">
        <v>43</v>
      </c>
      <c r="AI164">
        <v>50</v>
      </c>
      <c r="AJ164">
        <v>3</v>
      </c>
      <c r="AK164">
        <v>29</v>
      </c>
      <c r="AL164" t="s">
        <v>2958</v>
      </c>
      <c r="AM164" t="s">
        <v>2939</v>
      </c>
      <c r="AN164" t="s">
        <v>2940</v>
      </c>
      <c r="AO164" t="s">
        <v>2959</v>
      </c>
      <c r="AP164" t="s">
        <v>2960</v>
      </c>
      <c r="AQ164" t="s">
        <v>74</v>
      </c>
      <c r="AR164" t="s">
        <v>2961</v>
      </c>
      <c r="AS164" t="s">
        <v>2962</v>
      </c>
      <c r="AT164" t="s">
        <v>1490</v>
      </c>
      <c r="AU164">
        <v>2008</v>
      </c>
      <c r="AV164">
        <v>53</v>
      </c>
      <c r="AW164">
        <v>1</v>
      </c>
      <c r="AX164" t="s">
        <v>74</v>
      </c>
      <c r="AY164" t="s">
        <v>74</v>
      </c>
      <c r="AZ164" t="s">
        <v>74</v>
      </c>
      <c r="BA164" t="s">
        <v>74</v>
      </c>
      <c r="BB164">
        <v>102</v>
      </c>
      <c r="BC164">
        <v>106</v>
      </c>
      <c r="BD164" t="s">
        <v>74</v>
      </c>
      <c r="BE164" t="s">
        <v>2963</v>
      </c>
      <c r="BF164" t="str">
        <f>HYPERLINK("http://dx.doi.org/10.1007/s11434-007-0520-6","http://dx.doi.org/10.1007/s11434-007-0520-6")</f>
        <v>http://dx.doi.org/10.1007/s11434-007-0520-6</v>
      </c>
      <c r="BG164" t="s">
        <v>74</v>
      </c>
      <c r="BH164" t="s">
        <v>74</v>
      </c>
      <c r="BI164">
        <v>5</v>
      </c>
      <c r="BJ164" t="s">
        <v>684</v>
      </c>
      <c r="BK164" t="s">
        <v>97</v>
      </c>
      <c r="BL164" t="s">
        <v>685</v>
      </c>
      <c r="BM164" t="s">
        <v>2964</v>
      </c>
      <c r="BN164" t="s">
        <v>74</v>
      </c>
      <c r="BO164" t="s">
        <v>74</v>
      </c>
      <c r="BP164" t="s">
        <v>74</v>
      </c>
      <c r="BQ164" t="s">
        <v>74</v>
      </c>
      <c r="BR164" t="s">
        <v>100</v>
      </c>
      <c r="BS164" t="s">
        <v>2965</v>
      </c>
      <c r="BT164" t="str">
        <f>HYPERLINK("https%3A%2F%2Fwww.webofscience.com%2Fwos%2Fwoscc%2Ffull-record%2FWOS:000252275900016","View Full Record in Web of Science")</f>
        <v>View Full Record in Web of Science</v>
      </c>
    </row>
    <row r="165" spans="1:72" x14ac:dyDescent="0.15">
      <c r="A165" t="s">
        <v>72</v>
      </c>
      <c r="B165" t="s">
        <v>2966</v>
      </c>
      <c r="C165" t="s">
        <v>74</v>
      </c>
      <c r="D165" t="s">
        <v>74</v>
      </c>
      <c r="E165" t="s">
        <v>74</v>
      </c>
      <c r="F165" t="s">
        <v>2967</v>
      </c>
      <c r="G165" t="s">
        <v>74</v>
      </c>
      <c r="H165" t="s">
        <v>74</v>
      </c>
      <c r="I165" t="s">
        <v>2968</v>
      </c>
      <c r="J165" t="s">
        <v>2969</v>
      </c>
      <c r="K165" t="s">
        <v>74</v>
      </c>
      <c r="L165" t="s">
        <v>74</v>
      </c>
      <c r="M165" t="s">
        <v>78</v>
      </c>
      <c r="N165" t="s">
        <v>79</v>
      </c>
      <c r="O165" t="s">
        <v>74</v>
      </c>
      <c r="P165" t="s">
        <v>74</v>
      </c>
      <c r="Q165" t="s">
        <v>74</v>
      </c>
      <c r="R165" t="s">
        <v>74</v>
      </c>
      <c r="S165" t="s">
        <v>74</v>
      </c>
      <c r="T165" t="s">
        <v>74</v>
      </c>
      <c r="U165" t="s">
        <v>2970</v>
      </c>
      <c r="V165" t="s">
        <v>2971</v>
      </c>
      <c r="W165" t="s">
        <v>2972</v>
      </c>
      <c r="X165" t="s">
        <v>2973</v>
      </c>
      <c r="Y165" t="s">
        <v>2974</v>
      </c>
      <c r="Z165" t="s">
        <v>2975</v>
      </c>
      <c r="AA165" t="s">
        <v>2976</v>
      </c>
      <c r="AB165" t="s">
        <v>2977</v>
      </c>
      <c r="AC165" t="s">
        <v>2978</v>
      </c>
      <c r="AD165" t="s">
        <v>242</v>
      </c>
      <c r="AE165" t="s">
        <v>74</v>
      </c>
      <c r="AF165" t="s">
        <v>74</v>
      </c>
      <c r="AG165">
        <v>65</v>
      </c>
      <c r="AH165">
        <v>157</v>
      </c>
      <c r="AI165">
        <v>181</v>
      </c>
      <c r="AJ165">
        <v>2</v>
      </c>
      <c r="AK165">
        <v>131</v>
      </c>
      <c r="AL165" t="s">
        <v>1265</v>
      </c>
      <c r="AM165" t="s">
        <v>662</v>
      </c>
      <c r="AN165" t="s">
        <v>1298</v>
      </c>
      <c r="AO165" t="s">
        <v>2979</v>
      </c>
      <c r="AP165" t="s">
        <v>2980</v>
      </c>
      <c r="AQ165" t="s">
        <v>74</v>
      </c>
      <c r="AR165" t="s">
        <v>2981</v>
      </c>
      <c r="AS165" t="s">
        <v>2982</v>
      </c>
      <c r="AT165" t="s">
        <v>1490</v>
      </c>
      <c r="AU165">
        <v>2008</v>
      </c>
      <c r="AV165">
        <v>30</v>
      </c>
      <c r="AW165">
        <v>1</v>
      </c>
      <c r="AX165" t="s">
        <v>74</v>
      </c>
      <c r="AY165" t="s">
        <v>74</v>
      </c>
      <c r="AZ165" t="s">
        <v>74</v>
      </c>
      <c r="BA165" t="s">
        <v>74</v>
      </c>
      <c r="BB165">
        <v>1</v>
      </c>
      <c r="BC165">
        <v>18</v>
      </c>
      <c r="BD165" t="s">
        <v>74</v>
      </c>
      <c r="BE165" t="s">
        <v>2983</v>
      </c>
      <c r="BF165" t="str">
        <f>HYPERLINK("http://dx.doi.org/10.1007/s00382-007-0265-6","http://dx.doi.org/10.1007/s00382-007-0265-6")</f>
        <v>http://dx.doi.org/10.1007/s00382-007-0265-6</v>
      </c>
      <c r="BG165" t="s">
        <v>74</v>
      </c>
      <c r="BH165" t="s">
        <v>74</v>
      </c>
      <c r="BI165">
        <v>18</v>
      </c>
      <c r="BJ165" t="s">
        <v>204</v>
      </c>
      <c r="BK165" t="s">
        <v>97</v>
      </c>
      <c r="BL165" t="s">
        <v>204</v>
      </c>
      <c r="BM165" t="s">
        <v>2984</v>
      </c>
      <c r="BN165" t="s">
        <v>74</v>
      </c>
      <c r="BO165" t="s">
        <v>1050</v>
      </c>
      <c r="BP165" t="s">
        <v>74</v>
      </c>
      <c r="BQ165" t="s">
        <v>74</v>
      </c>
      <c r="BR165" t="s">
        <v>100</v>
      </c>
      <c r="BS165" t="s">
        <v>2985</v>
      </c>
      <c r="BT165" t="str">
        <f>HYPERLINK("https%3A%2F%2Fwww.webofscience.com%2Fwos%2Fwoscc%2Ffull-record%2FWOS:000251009500001","View Full Record in Web of Science")</f>
        <v>View Full Record in Web of Science</v>
      </c>
    </row>
    <row r="166" spans="1:72" x14ac:dyDescent="0.15">
      <c r="A166" t="s">
        <v>72</v>
      </c>
      <c r="B166" t="s">
        <v>2986</v>
      </c>
      <c r="C166" t="s">
        <v>74</v>
      </c>
      <c r="D166" t="s">
        <v>74</v>
      </c>
      <c r="E166" t="s">
        <v>74</v>
      </c>
      <c r="F166" t="s">
        <v>2987</v>
      </c>
      <c r="G166" t="s">
        <v>74</v>
      </c>
      <c r="H166" t="s">
        <v>74</v>
      </c>
      <c r="I166" t="s">
        <v>2988</v>
      </c>
      <c r="J166" t="s">
        <v>2969</v>
      </c>
      <c r="K166" t="s">
        <v>74</v>
      </c>
      <c r="L166" t="s">
        <v>74</v>
      </c>
      <c r="M166" t="s">
        <v>78</v>
      </c>
      <c r="N166" t="s">
        <v>79</v>
      </c>
      <c r="O166" t="s">
        <v>74</v>
      </c>
      <c r="P166" t="s">
        <v>74</v>
      </c>
      <c r="Q166" t="s">
        <v>74</v>
      </c>
      <c r="R166" t="s">
        <v>74</v>
      </c>
      <c r="S166" t="s">
        <v>74</v>
      </c>
      <c r="T166" t="s">
        <v>2989</v>
      </c>
      <c r="U166" t="s">
        <v>2990</v>
      </c>
      <c r="V166" t="s">
        <v>2991</v>
      </c>
      <c r="W166" t="s">
        <v>2992</v>
      </c>
      <c r="X166" t="s">
        <v>2993</v>
      </c>
      <c r="Y166" t="s">
        <v>2994</v>
      </c>
      <c r="Z166" t="s">
        <v>2995</v>
      </c>
      <c r="AA166" t="s">
        <v>2996</v>
      </c>
      <c r="AB166" t="s">
        <v>2997</v>
      </c>
      <c r="AC166" t="s">
        <v>74</v>
      </c>
      <c r="AD166" t="s">
        <v>74</v>
      </c>
      <c r="AE166" t="s">
        <v>74</v>
      </c>
      <c r="AF166" t="s">
        <v>74</v>
      </c>
      <c r="AG166">
        <v>38</v>
      </c>
      <c r="AH166">
        <v>48</v>
      </c>
      <c r="AI166">
        <v>52</v>
      </c>
      <c r="AJ166">
        <v>0</v>
      </c>
      <c r="AK166">
        <v>11</v>
      </c>
      <c r="AL166" t="s">
        <v>1265</v>
      </c>
      <c r="AM166" t="s">
        <v>662</v>
      </c>
      <c r="AN166" t="s">
        <v>1298</v>
      </c>
      <c r="AO166" t="s">
        <v>2979</v>
      </c>
      <c r="AP166" t="s">
        <v>2980</v>
      </c>
      <c r="AQ166" t="s">
        <v>74</v>
      </c>
      <c r="AR166" t="s">
        <v>2981</v>
      </c>
      <c r="AS166" t="s">
        <v>2982</v>
      </c>
      <c r="AT166" t="s">
        <v>1490</v>
      </c>
      <c r="AU166">
        <v>2008</v>
      </c>
      <c r="AV166">
        <v>30</v>
      </c>
      <c r="AW166">
        <v>1</v>
      </c>
      <c r="AX166" t="s">
        <v>74</v>
      </c>
      <c r="AY166" t="s">
        <v>74</v>
      </c>
      <c r="AZ166" t="s">
        <v>74</v>
      </c>
      <c r="BA166" t="s">
        <v>74</v>
      </c>
      <c r="BB166">
        <v>59</v>
      </c>
      <c r="BC166">
        <v>76</v>
      </c>
      <c r="BD166" t="s">
        <v>74</v>
      </c>
      <c r="BE166" t="s">
        <v>2998</v>
      </c>
      <c r="BF166" t="str">
        <f>HYPERLINK("http://dx.doi.org/10.1007/s00382-007-0273-6","http://dx.doi.org/10.1007/s00382-007-0273-6")</f>
        <v>http://dx.doi.org/10.1007/s00382-007-0273-6</v>
      </c>
      <c r="BG166" t="s">
        <v>74</v>
      </c>
      <c r="BH166" t="s">
        <v>74</v>
      </c>
      <c r="BI166">
        <v>18</v>
      </c>
      <c r="BJ166" t="s">
        <v>204</v>
      </c>
      <c r="BK166" t="s">
        <v>97</v>
      </c>
      <c r="BL166" t="s">
        <v>204</v>
      </c>
      <c r="BM166" t="s">
        <v>2984</v>
      </c>
      <c r="BN166" t="s">
        <v>74</v>
      </c>
      <c r="BO166" t="s">
        <v>74</v>
      </c>
      <c r="BP166" t="s">
        <v>74</v>
      </c>
      <c r="BQ166" t="s">
        <v>74</v>
      </c>
      <c r="BR166" t="s">
        <v>100</v>
      </c>
      <c r="BS166" t="s">
        <v>2999</v>
      </c>
      <c r="BT166" t="str">
        <f>HYPERLINK("https%3A%2F%2Fwww.webofscience.com%2Fwos%2Fwoscc%2Ffull-record%2FWOS:000251009500004","View Full Record in Web of Science")</f>
        <v>View Full Record in Web of Science</v>
      </c>
    </row>
    <row r="167" spans="1:72" x14ac:dyDescent="0.15">
      <c r="A167" t="s">
        <v>72</v>
      </c>
      <c r="B167" t="s">
        <v>3000</v>
      </c>
      <c r="C167" t="s">
        <v>74</v>
      </c>
      <c r="D167" t="s">
        <v>74</v>
      </c>
      <c r="E167" t="s">
        <v>74</v>
      </c>
      <c r="F167" t="s">
        <v>3001</v>
      </c>
      <c r="G167" t="s">
        <v>74</v>
      </c>
      <c r="H167" t="s">
        <v>74</v>
      </c>
      <c r="I167" t="s">
        <v>3002</v>
      </c>
      <c r="J167" t="s">
        <v>3003</v>
      </c>
      <c r="K167" t="s">
        <v>74</v>
      </c>
      <c r="L167" t="s">
        <v>74</v>
      </c>
      <c r="M167" t="s">
        <v>78</v>
      </c>
      <c r="N167" t="s">
        <v>79</v>
      </c>
      <c r="O167" t="s">
        <v>74</v>
      </c>
      <c r="P167" t="s">
        <v>74</v>
      </c>
      <c r="Q167" t="s">
        <v>74</v>
      </c>
      <c r="R167" t="s">
        <v>74</v>
      </c>
      <c r="S167" t="s">
        <v>74</v>
      </c>
      <c r="T167" t="s">
        <v>74</v>
      </c>
      <c r="U167" t="s">
        <v>3004</v>
      </c>
      <c r="V167" t="s">
        <v>3005</v>
      </c>
      <c r="W167" t="s">
        <v>3006</v>
      </c>
      <c r="X167" t="s">
        <v>3007</v>
      </c>
      <c r="Y167" t="s">
        <v>3008</v>
      </c>
      <c r="Z167" t="s">
        <v>3009</v>
      </c>
      <c r="AA167" t="s">
        <v>3010</v>
      </c>
      <c r="AB167" t="s">
        <v>3011</v>
      </c>
      <c r="AC167" t="s">
        <v>74</v>
      </c>
      <c r="AD167" t="s">
        <v>74</v>
      </c>
      <c r="AE167" t="s">
        <v>74</v>
      </c>
      <c r="AF167" t="s">
        <v>74</v>
      </c>
      <c r="AG167">
        <v>51</v>
      </c>
      <c r="AH167">
        <v>11</v>
      </c>
      <c r="AI167">
        <v>11</v>
      </c>
      <c r="AJ167">
        <v>0</v>
      </c>
      <c r="AK167">
        <v>4</v>
      </c>
      <c r="AL167" t="s">
        <v>1552</v>
      </c>
      <c r="AM167" t="s">
        <v>1553</v>
      </c>
      <c r="AN167" t="s">
        <v>1554</v>
      </c>
      <c r="AO167" t="s">
        <v>3012</v>
      </c>
      <c r="AP167" t="s">
        <v>3013</v>
      </c>
      <c r="AQ167" t="s">
        <v>74</v>
      </c>
      <c r="AR167" t="s">
        <v>3014</v>
      </c>
      <c r="AS167" t="s">
        <v>3015</v>
      </c>
      <c r="AT167" t="s">
        <v>74</v>
      </c>
      <c r="AU167">
        <v>2008</v>
      </c>
      <c r="AV167">
        <v>4</v>
      </c>
      <c r="AW167">
        <v>1</v>
      </c>
      <c r="AX167" t="s">
        <v>74</v>
      </c>
      <c r="AY167" t="s">
        <v>74</v>
      </c>
      <c r="AZ167" t="s">
        <v>74</v>
      </c>
      <c r="BA167" t="s">
        <v>74</v>
      </c>
      <c r="BB167">
        <v>11</v>
      </c>
      <c r="BC167">
        <v>18</v>
      </c>
      <c r="BD167" t="s">
        <v>74</v>
      </c>
      <c r="BE167" t="s">
        <v>3016</v>
      </c>
      <c r="BF167" t="str">
        <f>HYPERLINK("http://dx.doi.org/10.5194/cp-4-11-2008","http://dx.doi.org/10.5194/cp-4-11-2008")</f>
        <v>http://dx.doi.org/10.5194/cp-4-11-2008</v>
      </c>
      <c r="BG167" t="s">
        <v>74</v>
      </c>
      <c r="BH167" t="s">
        <v>74</v>
      </c>
      <c r="BI167">
        <v>8</v>
      </c>
      <c r="BJ167" t="s">
        <v>3017</v>
      </c>
      <c r="BK167" t="s">
        <v>97</v>
      </c>
      <c r="BL167" t="s">
        <v>3018</v>
      </c>
      <c r="BM167" t="s">
        <v>3019</v>
      </c>
      <c r="BN167" t="s">
        <v>74</v>
      </c>
      <c r="BO167" t="s">
        <v>2261</v>
      </c>
      <c r="BP167" t="s">
        <v>74</v>
      </c>
      <c r="BQ167" t="s">
        <v>74</v>
      </c>
      <c r="BR167" t="s">
        <v>100</v>
      </c>
      <c r="BS167" t="s">
        <v>3020</v>
      </c>
      <c r="BT167" t="str">
        <f>HYPERLINK("https%3A%2F%2Fwww.webofscience.com%2Fwos%2Fwoscc%2Ffull-record%2FWOS:000253673000002","View Full Record in Web of Science")</f>
        <v>View Full Record in Web of Science</v>
      </c>
    </row>
    <row r="168" spans="1:72" x14ac:dyDescent="0.15">
      <c r="A168" t="s">
        <v>72</v>
      </c>
      <c r="B168" t="s">
        <v>3021</v>
      </c>
      <c r="C168" t="s">
        <v>74</v>
      </c>
      <c r="D168" t="s">
        <v>74</v>
      </c>
      <c r="E168" t="s">
        <v>74</v>
      </c>
      <c r="F168" t="s">
        <v>3022</v>
      </c>
      <c r="G168" t="s">
        <v>74</v>
      </c>
      <c r="H168" t="s">
        <v>74</v>
      </c>
      <c r="I168" t="s">
        <v>3023</v>
      </c>
      <c r="J168" t="s">
        <v>3003</v>
      </c>
      <c r="K168" t="s">
        <v>74</v>
      </c>
      <c r="L168" t="s">
        <v>74</v>
      </c>
      <c r="M168" t="s">
        <v>78</v>
      </c>
      <c r="N168" t="s">
        <v>79</v>
      </c>
      <c r="O168" t="s">
        <v>74</v>
      </c>
      <c r="P168" t="s">
        <v>74</v>
      </c>
      <c r="Q168" t="s">
        <v>74</v>
      </c>
      <c r="R168" t="s">
        <v>74</v>
      </c>
      <c r="S168" t="s">
        <v>74</v>
      </c>
      <c r="T168" t="s">
        <v>74</v>
      </c>
      <c r="U168" t="s">
        <v>3024</v>
      </c>
      <c r="V168" t="s">
        <v>3025</v>
      </c>
      <c r="W168" t="s">
        <v>3026</v>
      </c>
      <c r="X168" t="s">
        <v>3027</v>
      </c>
      <c r="Y168" t="s">
        <v>3028</v>
      </c>
      <c r="Z168" t="s">
        <v>3029</v>
      </c>
      <c r="AA168" t="s">
        <v>3030</v>
      </c>
      <c r="AB168" t="s">
        <v>3031</v>
      </c>
      <c r="AC168" t="s">
        <v>74</v>
      </c>
      <c r="AD168" t="s">
        <v>74</v>
      </c>
      <c r="AE168" t="s">
        <v>74</v>
      </c>
      <c r="AF168" t="s">
        <v>74</v>
      </c>
      <c r="AG168">
        <v>47</v>
      </c>
      <c r="AH168">
        <v>61</v>
      </c>
      <c r="AI168">
        <v>70</v>
      </c>
      <c r="AJ168">
        <v>0</v>
      </c>
      <c r="AK168">
        <v>21</v>
      </c>
      <c r="AL168" t="s">
        <v>1552</v>
      </c>
      <c r="AM168" t="s">
        <v>1553</v>
      </c>
      <c r="AN168" t="s">
        <v>1554</v>
      </c>
      <c r="AO168" t="s">
        <v>3012</v>
      </c>
      <c r="AP168" t="s">
        <v>3013</v>
      </c>
      <c r="AQ168" t="s">
        <v>74</v>
      </c>
      <c r="AR168" t="s">
        <v>3014</v>
      </c>
      <c r="AS168" t="s">
        <v>3015</v>
      </c>
      <c r="AT168" t="s">
        <v>74</v>
      </c>
      <c r="AU168">
        <v>2008</v>
      </c>
      <c r="AV168">
        <v>4</v>
      </c>
      <c r="AW168">
        <v>1</v>
      </c>
      <c r="AX168" t="s">
        <v>74</v>
      </c>
      <c r="AY168" t="s">
        <v>74</v>
      </c>
      <c r="AZ168" t="s">
        <v>74</v>
      </c>
      <c r="BA168" t="s">
        <v>74</v>
      </c>
      <c r="BB168">
        <v>29</v>
      </c>
      <c r="BC168">
        <v>34</v>
      </c>
      <c r="BD168" t="s">
        <v>74</v>
      </c>
      <c r="BE168" t="s">
        <v>3032</v>
      </c>
      <c r="BF168" t="str">
        <f>HYPERLINK("http://dx.doi.org/10.5194/cp-4-29-2008","http://dx.doi.org/10.5194/cp-4-29-2008")</f>
        <v>http://dx.doi.org/10.5194/cp-4-29-2008</v>
      </c>
      <c r="BG168" t="s">
        <v>74</v>
      </c>
      <c r="BH168" t="s">
        <v>74</v>
      </c>
      <c r="BI168">
        <v>6</v>
      </c>
      <c r="BJ168" t="s">
        <v>3017</v>
      </c>
      <c r="BK168" t="s">
        <v>97</v>
      </c>
      <c r="BL168" t="s">
        <v>3018</v>
      </c>
      <c r="BM168" t="s">
        <v>3019</v>
      </c>
      <c r="BN168" t="s">
        <v>74</v>
      </c>
      <c r="BO168" t="s">
        <v>1581</v>
      </c>
      <c r="BP168" t="s">
        <v>74</v>
      </c>
      <c r="BQ168" t="s">
        <v>74</v>
      </c>
      <c r="BR168" t="s">
        <v>100</v>
      </c>
      <c r="BS168" t="s">
        <v>3033</v>
      </c>
      <c r="BT168" t="str">
        <f>HYPERLINK("https%3A%2F%2Fwww.webofscience.com%2Fwos%2Fwoscc%2Ffull-record%2FWOS:000253673000004","View Full Record in Web of Science")</f>
        <v>View Full Record in Web of Science</v>
      </c>
    </row>
    <row r="169" spans="1:72" x14ac:dyDescent="0.15">
      <c r="A169" t="s">
        <v>72</v>
      </c>
      <c r="B169" t="s">
        <v>3034</v>
      </c>
      <c r="C169" t="s">
        <v>74</v>
      </c>
      <c r="D169" t="s">
        <v>74</v>
      </c>
      <c r="E169" t="s">
        <v>74</v>
      </c>
      <c r="F169" t="s">
        <v>3035</v>
      </c>
      <c r="G169" t="s">
        <v>74</v>
      </c>
      <c r="H169" t="s">
        <v>74</v>
      </c>
      <c r="I169" t="s">
        <v>3036</v>
      </c>
      <c r="J169" t="s">
        <v>3003</v>
      </c>
      <c r="K169" t="s">
        <v>74</v>
      </c>
      <c r="L169" t="s">
        <v>74</v>
      </c>
      <c r="M169" t="s">
        <v>78</v>
      </c>
      <c r="N169" t="s">
        <v>79</v>
      </c>
      <c r="O169" t="s">
        <v>74</v>
      </c>
      <c r="P169" t="s">
        <v>74</v>
      </c>
      <c r="Q169" t="s">
        <v>74</v>
      </c>
      <c r="R169" t="s">
        <v>74</v>
      </c>
      <c r="S169" t="s">
        <v>74</v>
      </c>
      <c r="T169" t="s">
        <v>74</v>
      </c>
      <c r="U169" t="s">
        <v>3037</v>
      </c>
      <c r="V169" t="s">
        <v>3038</v>
      </c>
      <c r="W169" t="s">
        <v>3039</v>
      </c>
      <c r="X169" t="s">
        <v>3040</v>
      </c>
      <c r="Y169" t="s">
        <v>3041</v>
      </c>
      <c r="Z169" t="s">
        <v>3042</v>
      </c>
      <c r="AA169" t="s">
        <v>3043</v>
      </c>
      <c r="AB169" t="s">
        <v>3044</v>
      </c>
      <c r="AC169" t="s">
        <v>3045</v>
      </c>
      <c r="AD169" t="s">
        <v>3046</v>
      </c>
      <c r="AE169" t="s">
        <v>3047</v>
      </c>
      <c r="AF169" t="s">
        <v>74</v>
      </c>
      <c r="AG169">
        <v>47</v>
      </c>
      <c r="AH169">
        <v>820</v>
      </c>
      <c r="AI169">
        <v>888</v>
      </c>
      <c r="AJ169">
        <v>5</v>
      </c>
      <c r="AK169">
        <v>168</v>
      </c>
      <c r="AL169" t="s">
        <v>1552</v>
      </c>
      <c r="AM169" t="s">
        <v>1553</v>
      </c>
      <c r="AN169" t="s">
        <v>1554</v>
      </c>
      <c r="AO169" t="s">
        <v>3012</v>
      </c>
      <c r="AP169" t="s">
        <v>3013</v>
      </c>
      <c r="AQ169" t="s">
        <v>74</v>
      </c>
      <c r="AR169" t="s">
        <v>3014</v>
      </c>
      <c r="AS169" t="s">
        <v>3015</v>
      </c>
      <c r="AT169" t="s">
        <v>74</v>
      </c>
      <c r="AU169">
        <v>2008</v>
      </c>
      <c r="AV169">
        <v>4</v>
      </c>
      <c r="AW169">
        <v>1</v>
      </c>
      <c r="AX169" t="s">
        <v>74</v>
      </c>
      <c r="AY169" t="s">
        <v>74</v>
      </c>
      <c r="AZ169" t="s">
        <v>74</v>
      </c>
      <c r="BA169" t="s">
        <v>74</v>
      </c>
      <c r="BB169">
        <v>47</v>
      </c>
      <c r="BC169">
        <v>57</v>
      </c>
      <c r="BD169" t="s">
        <v>74</v>
      </c>
      <c r="BE169" t="s">
        <v>3048</v>
      </c>
      <c r="BF169" t="str">
        <f>HYPERLINK("http://dx.doi.org/10.5194/cp-4-47-2008","http://dx.doi.org/10.5194/cp-4-47-2008")</f>
        <v>http://dx.doi.org/10.5194/cp-4-47-2008</v>
      </c>
      <c r="BG169" t="s">
        <v>74</v>
      </c>
      <c r="BH169" t="s">
        <v>74</v>
      </c>
      <c r="BI169">
        <v>11</v>
      </c>
      <c r="BJ169" t="s">
        <v>3017</v>
      </c>
      <c r="BK169" t="s">
        <v>97</v>
      </c>
      <c r="BL169" t="s">
        <v>3018</v>
      </c>
      <c r="BM169" t="s">
        <v>3049</v>
      </c>
      <c r="BN169" t="s">
        <v>74</v>
      </c>
      <c r="BO169" t="s">
        <v>2261</v>
      </c>
      <c r="BP169" t="s">
        <v>74</v>
      </c>
      <c r="BQ169" t="s">
        <v>74</v>
      </c>
      <c r="BR169" t="s">
        <v>100</v>
      </c>
      <c r="BS169" t="s">
        <v>3050</v>
      </c>
      <c r="BT169" t="str">
        <f>HYPERLINK("https%3A%2F%2Fwww.webofscience.com%2Fwos%2Fwoscc%2Ffull-record%2FWOS:000260758300001","View Full Record in Web of Science")</f>
        <v>View Full Record in Web of Science</v>
      </c>
    </row>
    <row r="170" spans="1:72" x14ac:dyDescent="0.15">
      <c r="A170" t="s">
        <v>72</v>
      </c>
      <c r="B170" t="s">
        <v>3051</v>
      </c>
      <c r="C170" t="s">
        <v>74</v>
      </c>
      <c r="D170" t="s">
        <v>74</v>
      </c>
      <c r="E170" t="s">
        <v>74</v>
      </c>
      <c r="F170" t="s">
        <v>3052</v>
      </c>
      <c r="G170" t="s">
        <v>74</v>
      </c>
      <c r="H170" t="s">
        <v>74</v>
      </c>
      <c r="I170" t="s">
        <v>3053</v>
      </c>
      <c r="J170" t="s">
        <v>3003</v>
      </c>
      <c r="K170" t="s">
        <v>74</v>
      </c>
      <c r="L170" t="s">
        <v>74</v>
      </c>
      <c r="M170" t="s">
        <v>78</v>
      </c>
      <c r="N170" t="s">
        <v>79</v>
      </c>
      <c r="O170" t="s">
        <v>74</v>
      </c>
      <c r="P170" t="s">
        <v>74</v>
      </c>
      <c r="Q170" t="s">
        <v>74</v>
      </c>
      <c r="R170" t="s">
        <v>74</v>
      </c>
      <c r="S170" t="s">
        <v>74</v>
      </c>
      <c r="T170" t="s">
        <v>74</v>
      </c>
      <c r="U170" t="s">
        <v>3054</v>
      </c>
      <c r="V170" t="s">
        <v>3055</v>
      </c>
      <c r="W170" t="s">
        <v>3056</v>
      </c>
      <c r="X170" t="s">
        <v>3057</v>
      </c>
      <c r="Y170" t="s">
        <v>3058</v>
      </c>
      <c r="Z170" t="s">
        <v>3059</v>
      </c>
      <c r="AA170" t="s">
        <v>3060</v>
      </c>
      <c r="AB170" t="s">
        <v>3061</v>
      </c>
      <c r="AC170" t="s">
        <v>74</v>
      </c>
      <c r="AD170" t="s">
        <v>74</v>
      </c>
      <c r="AE170" t="s">
        <v>74</v>
      </c>
      <c r="AF170" t="s">
        <v>74</v>
      </c>
      <c r="AG170">
        <v>78</v>
      </c>
      <c r="AH170">
        <v>28</v>
      </c>
      <c r="AI170">
        <v>31</v>
      </c>
      <c r="AJ170">
        <v>0</v>
      </c>
      <c r="AK170">
        <v>24</v>
      </c>
      <c r="AL170" t="s">
        <v>1552</v>
      </c>
      <c r="AM170" t="s">
        <v>1553</v>
      </c>
      <c r="AN170" t="s">
        <v>1554</v>
      </c>
      <c r="AO170" t="s">
        <v>3012</v>
      </c>
      <c r="AP170" t="s">
        <v>3013</v>
      </c>
      <c r="AQ170" t="s">
        <v>74</v>
      </c>
      <c r="AR170" t="s">
        <v>3014</v>
      </c>
      <c r="AS170" t="s">
        <v>3015</v>
      </c>
      <c r="AT170" t="s">
        <v>74</v>
      </c>
      <c r="AU170">
        <v>2008</v>
      </c>
      <c r="AV170">
        <v>4</v>
      </c>
      <c r="AW170">
        <v>4</v>
      </c>
      <c r="AX170" t="s">
        <v>74</v>
      </c>
      <c r="AY170" t="s">
        <v>74</v>
      </c>
      <c r="AZ170" t="s">
        <v>74</v>
      </c>
      <c r="BA170" t="s">
        <v>74</v>
      </c>
      <c r="BB170">
        <v>311</v>
      </c>
      <c r="BC170">
        <v>332</v>
      </c>
      <c r="BD170" t="s">
        <v>74</v>
      </c>
      <c r="BE170" t="s">
        <v>3062</v>
      </c>
      <c r="BF170" t="str">
        <f>HYPERLINK("http://dx.doi.org/10.5194/cp-4-311-2008","http://dx.doi.org/10.5194/cp-4-311-2008")</f>
        <v>http://dx.doi.org/10.5194/cp-4-311-2008</v>
      </c>
      <c r="BG170" t="s">
        <v>74</v>
      </c>
      <c r="BH170" t="s">
        <v>74</v>
      </c>
      <c r="BI170">
        <v>22</v>
      </c>
      <c r="BJ170" t="s">
        <v>3017</v>
      </c>
      <c r="BK170" t="s">
        <v>97</v>
      </c>
      <c r="BL170" t="s">
        <v>3018</v>
      </c>
      <c r="BM170" t="s">
        <v>3063</v>
      </c>
      <c r="BN170" t="s">
        <v>74</v>
      </c>
      <c r="BO170" t="s">
        <v>1581</v>
      </c>
      <c r="BP170" t="s">
        <v>74</v>
      </c>
      <c r="BQ170" t="s">
        <v>74</v>
      </c>
      <c r="BR170" t="s">
        <v>100</v>
      </c>
      <c r="BS170" t="s">
        <v>3064</v>
      </c>
      <c r="BT170" t="str">
        <f>HYPERLINK("https%3A%2F%2Fwww.webofscience.com%2Fwos%2Fwoscc%2Ffull-record%2FWOS:000262410700010","View Full Record in Web of Science")</f>
        <v>View Full Record in Web of Science</v>
      </c>
    </row>
    <row r="171" spans="1:72" x14ac:dyDescent="0.15">
      <c r="A171" t="s">
        <v>72</v>
      </c>
      <c r="B171" t="s">
        <v>3065</v>
      </c>
      <c r="C171" t="s">
        <v>74</v>
      </c>
      <c r="D171" t="s">
        <v>74</v>
      </c>
      <c r="E171" t="s">
        <v>74</v>
      </c>
      <c r="F171" t="s">
        <v>3066</v>
      </c>
      <c r="G171" t="s">
        <v>74</v>
      </c>
      <c r="H171" t="s">
        <v>74</v>
      </c>
      <c r="I171" t="s">
        <v>3067</v>
      </c>
      <c r="J171" t="s">
        <v>3003</v>
      </c>
      <c r="K171" t="s">
        <v>74</v>
      </c>
      <c r="L171" t="s">
        <v>74</v>
      </c>
      <c r="M171" t="s">
        <v>78</v>
      </c>
      <c r="N171" t="s">
        <v>79</v>
      </c>
      <c r="O171" t="s">
        <v>74</v>
      </c>
      <c r="P171" t="s">
        <v>74</v>
      </c>
      <c r="Q171" t="s">
        <v>74</v>
      </c>
      <c r="R171" t="s">
        <v>74</v>
      </c>
      <c r="S171" t="s">
        <v>74</v>
      </c>
      <c r="T171" t="s">
        <v>74</v>
      </c>
      <c r="U171" t="s">
        <v>3068</v>
      </c>
      <c r="V171" t="s">
        <v>3069</v>
      </c>
      <c r="W171" t="s">
        <v>3070</v>
      </c>
      <c r="X171" t="s">
        <v>3071</v>
      </c>
      <c r="Y171" t="s">
        <v>3072</v>
      </c>
      <c r="Z171" t="s">
        <v>3073</v>
      </c>
      <c r="AA171" t="s">
        <v>3074</v>
      </c>
      <c r="AB171" t="s">
        <v>3075</v>
      </c>
      <c r="AC171" t="s">
        <v>3076</v>
      </c>
      <c r="AD171" t="s">
        <v>3077</v>
      </c>
      <c r="AE171" t="s">
        <v>3078</v>
      </c>
      <c r="AF171" t="s">
        <v>74</v>
      </c>
      <c r="AG171">
        <v>35</v>
      </c>
      <c r="AH171">
        <v>48</v>
      </c>
      <c r="AI171">
        <v>52</v>
      </c>
      <c r="AJ171">
        <v>0</v>
      </c>
      <c r="AK171">
        <v>21</v>
      </c>
      <c r="AL171" t="s">
        <v>1552</v>
      </c>
      <c r="AM171" t="s">
        <v>1553</v>
      </c>
      <c r="AN171" t="s">
        <v>1554</v>
      </c>
      <c r="AO171" t="s">
        <v>3012</v>
      </c>
      <c r="AP171" t="s">
        <v>3013</v>
      </c>
      <c r="AQ171" t="s">
        <v>74</v>
      </c>
      <c r="AR171" t="s">
        <v>3014</v>
      </c>
      <c r="AS171" t="s">
        <v>3015</v>
      </c>
      <c r="AT171" t="s">
        <v>74</v>
      </c>
      <c r="AU171">
        <v>2008</v>
      </c>
      <c r="AV171">
        <v>4</v>
      </c>
      <c r="AW171">
        <v>4</v>
      </c>
      <c r="AX171" t="s">
        <v>74</v>
      </c>
      <c r="AY171" t="s">
        <v>74</v>
      </c>
      <c r="AZ171" t="s">
        <v>74</v>
      </c>
      <c r="BA171" t="s">
        <v>74</v>
      </c>
      <c r="BB171">
        <v>345</v>
      </c>
      <c r="BC171">
        <v>356</v>
      </c>
      <c r="BD171" t="s">
        <v>74</v>
      </c>
      <c r="BE171" t="s">
        <v>3079</v>
      </c>
      <c r="BF171" t="str">
        <f>HYPERLINK("http://dx.doi.org/10.5194/cp-4-345-2008","http://dx.doi.org/10.5194/cp-4-345-2008")</f>
        <v>http://dx.doi.org/10.5194/cp-4-345-2008</v>
      </c>
      <c r="BG171" t="s">
        <v>74</v>
      </c>
      <c r="BH171" t="s">
        <v>74</v>
      </c>
      <c r="BI171">
        <v>12</v>
      </c>
      <c r="BJ171" t="s">
        <v>3017</v>
      </c>
      <c r="BK171" t="s">
        <v>97</v>
      </c>
      <c r="BL171" t="s">
        <v>3018</v>
      </c>
      <c r="BM171" t="s">
        <v>3063</v>
      </c>
      <c r="BN171" t="s">
        <v>74</v>
      </c>
      <c r="BO171" t="s">
        <v>3080</v>
      </c>
      <c r="BP171" t="s">
        <v>74</v>
      </c>
      <c r="BQ171" t="s">
        <v>74</v>
      </c>
      <c r="BR171" t="s">
        <v>100</v>
      </c>
      <c r="BS171" t="s">
        <v>3081</v>
      </c>
      <c r="BT171" t="str">
        <f>HYPERLINK("https%3A%2F%2Fwww.webofscience.com%2Fwos%2Fwoscc%2Ffull-record%2FWOS:000262410700012","View Full Record in Web of Science")</f>
        <v>View Full Record in Web of Science</v>
      </c>
    </row>
    <row r="172" spans="1:72" x14ac:dyDescent="0.15">
      <c r="A172" t="s">
        <v>816</v>
      </c>
      <c r="B172" t="s">
        <v>3082</v>
      </c>
      <c r="C172" t="s">
        <v>74</v>
      </c>
      <c r="D172" t="s">
        <v>3083</v>
      </c>
      <c r="E172" t="s">
        <v>74</v>
      </c>
      <c r="F172" t="s">
        <v>3084</v>
      </c>
      <c r="G172" t="s">
        <v>74</v>
      </c>
      <c r="H172" t="s">
        <v>74</v>
      </c>
      <c r="I172" t="s">
        <v>3085</v>
      </c>
      <c r="J172" t="s">
        <v>3086</v>
      </c>
      <c r="K172" t="s">
        <v>3087</v>
      </c>
      <c r="L172" t="s">
        <v>74</v>
      </c>
      <c r="M172" t="s">
        <v>78</v>
      </c>
      <c r="N172" t="s">
        <v>823</v>
      </c>
      <c r="O172" t="s">
        <v>3088</v>
      </c>
      <c r="P172" t="s">
        <v>3089</v>
      </c>
      <c r="Q172" t="s">
        <v>3090</v>
      </c>
      <c r="R172" t="s">
        <v>74</v>
      </c>
      <c r="S172" t="s">
        <v>74</v>
      </c>
      <c r="T172" t="s">
        <v>74</v>
      </c>
      <c r="U172" t="s">
        <v>3091</v>
      </c>
      <c r="V172" t="s">
        <v>3092</v>
      </c>
      <c r="W172" t="s">
        <v>3093</v>
      </c>
      <c r="X172" t="s">
        <v>3094</v>
      </c>
      <c r="Y172" t="s">
        <v>3095</v>
      </c>
      <c r="Z172" t="s">
        <v>3096</v>
      </c>
      <c r="AA172" t="s">
        <v>74</v>
      </c>
      <c r="AB172" t="s">
        <v>74</v>
      </c>
      <c r="AC172" t="s">
        <v>3097</v>
      </c>
      <c r="AD172" t="s">
        <v>3098</v>
      </c>
      <c r="AE172" t="s">
        <v>3099</v>
      </c>
      <c r="AF172" t="s">
        <v>74</v>
      </c>
      <c r="AG172">
        <v>29</v>
      </c>
      <c r="AH172">
        <v>2</v>
      </c>
      <c r="AI172">
        <v>2</v>
      </c>
      <c r="AJ172">
        <v>0</v>
      </c>
      <c r="AK172">
        <v>6</v>
      </c>
      <c r="AL172" t="s">
        <v>1265</v>
      </c>
      <c r="AM172" t="s">
        <v>1317</v>
      </c>
      <c r="AN172" t="s">
        <v>1318</v>
      </c>
      <c r="AO172" t="s">
        <v>3100</v>
      </c>
      <c r="AP172" t="s">
        <v>74</v>
      </c>
      <c r="AQ172" t="s">
        <v>3101</v>
      </c>
      <c r="AR172" t="s">
        <v>3102</v>
      </c>
      <c r="AS172" t="s">
        <v>3103</v>
      </c>
      <c r="AT172" t="s">
        <v>74</v>
      </c>
      <c r="AU172">
        <v>2008</v>
      </c>
      <c r="AV172">
        <v>33</v>
      </c>
      <c r="AW172" t="s">
        <v>74</v>
      </c>
      <c r="AX172" t="s">
        <v>74</v>
      </c>
      <c r="AY172" t="s">
        <v>74</v>
      </c>
      <c r="AZ172" t="s">
        <v>74</v>
      </c>
      <c r="BA172" t="s">
        <v>74</v>
      </c>
      <c r="BB172">
        <v>47</v>
      </c>
      <c r="BC172" t="s">
        <v>865</v>
      </c>
      <c r="BD172" t="s">
        <v>74</v>
      </c>
      <c r="BE172" t="s">
        <v>3104</v>
      </c>
      <c r="BF172" t="str">
        <f>HYPERLINK("http://dx.doi.org/10.1007/978-1-4020-6766-2_3","http://dx.doi.org/10.1007/978-1-4020-6766-2_3")</f>
        <v>http://dx.doi.org/10.1007/978-1-4020-6766-2_3</v>
      </c>
      <c r="BG172" t="s">
        <v>74</v>
      </c>
      <c r="BH172" t="s">
        <v>74</v>
      </c>
      <c r="BI172">
        <v>3</v>
      </c>
      <c r="BJ172" t="s">
        <v>3105</v>
      </c>
      <c r="BK172" t="s">
        <v>842</v>
      </c>
      <c r="BL172" t="s">
        <v>3106</v>
      </c>
      <c r="BM172" t="s">
        <v>3107</v>
      </c>
      <c r="BN172" t="s">
        <v>74</v>
      </c>
      <c r="BO172" t="s">
        <v>74</v>
      </c>
      <c r="BP172" t="s">
        <v>74</v>
      </c>
      <c r="BQ172" t="s">
        <v>74</v>
      </c>
      <c r="BR172" t="s">
        <v>100</v>
      </c>
      <c r="BS172" t="s">
        <v>3108</v>
      </c>
      <c r="BT172" t="str">
        <f>HYPERLINK("https%3A%2F%2Fwww.webofscience.com%2Fwos%2Fwoscc%2Ffull-record%2FWOS:000254027000003","View Full Record in Web of Science")</f>
        <v>View Full Record in Web of Science</v>
      </c>
    </row>
    <row r="173" spans="1:72" x14ac:dyDescent="0.15">
      <c r="A173" t="s">
        <v>816</v>
      </c>
      <c r="B173" t="s">
        <v>3109</v>
      </c>
      <c r="C173" t="s">
        <v>74</v>
      </c>
      <c r="D173" t="s">
        <v>3083</v>
      </c>
      <c r="E173" t="s">
        <v>74</v>
      </c>
      <c r="F173" t="s">
        <v>3110</v>
      </c>
      <c r="G173" t="s">
        <v>74</v>
      </c>
      <c r="H173" t="s">
        <v>74</v>
      </c>
      <c r="I173" t="s">
        <v>3111</v>
      </c>
      <c r="J173" t="s">
        <v>3086</v>
      </c>
      <c r="K173" t="s">
        <v>3112</v>
      </c>
      <c r="L173" t="s">
        <v>74</v>
      </c>
      <c r="M173" t="s">
        <v>78</v>
      </c>
      <c r="N173" t="s">
        <v>823</v>
      </c>
      <c r="O173" t="s">
        <v>3088</v>
      </c>
      <c r="P173" t="s">
        <v>3089</v>
      </c>
      <c r="Q173" t="s">
        <v>3090</v>
      </c>
      <c r="R173" t="s">
        <v>74</v>
      </c>
      <c r="S173" t="s">
        <v>74</v>
      </c>
      <c r="T173" t="s">
        <v>74</v>
      </c>
      <c r="U173" t="s">
        <v>3113</v>
      </c>
      <c r="V173" t="s">
        <v>3114</v>
      </c>
      <c r="W173" t="s">
        <v>3115</v>
      </c>
      <c r="X173" t="s">
        <v>3116</v>
      </c>
      <c r="Y173" t="s">
        <v>3117</v>
      </c>
      <c r="Z173" t="s">
        <v>74</v>
      </c>
      <c r="AA173" t="s">
        <v>74</v>
      </c>
      <c r="AB173" t="s">
        <v>3118</v>
      </c>
      <c r="AC173" t="s">
        <v>74</v>
      </c>
      <c r="AD173" t="s">
        <v>74</v>
      </c>
      <c r="AE173" t="s">
        <v>74</v>
      </c>
      <c r="AF173" t="s">
        <v>74</v>
      </c>
      <c r="AG173">
        <v>19</v>
      </c>
      <c r="AH173">
        <v>6</v>
      </c>
      <c r="AI173">
        <v>8</v>
      </c>
      <c r="AJ173">
        <v>0</v>
      </c>
      <c r="AK173">
        <v>4</v>
      </c>
      <c r="AL173" t="s">
        <v>1265</v>
      </c>
      <c r="AM173" t="s">
        <v>1317</v>
      </c>
      <c r="AN173" t="s">
        <v>1318</v>
      </c>
      <c r="AO173" t="s">
        <v>74</v>
      </c>
      <c r="AP173" t="s">
        <v>74</v>
      </c>
      <c r="AQ173" t="s">
        <v>3101</v>
      </c>
      <c r="AR173" t="s">
        <v>3102</v>
      </c>
      <c r="AS173" t="s">
        <v>74</v>
      </c>
      <c r="AT173" t="s">
        <v>74</v>
      </c>
      <c r="AU173">
        <v>2008</v>
      </c>
      <c r="AV173">
        <v>33</v>
      </c>
      <c r="AW173" t="s">
        <v>74</v>
      </c>
      <c r="AX173" t="s">
        <v>74</v>
      </c>
      <c r="AY173" t="s">
        <v>74</v>
      </c>
      <c r="AZ173" t="s">
        <v>74</v>
      </c>
      <c r="BA173" t="s">
        <v>74</v>
      </c>
      <c r="BB173">
        <v>293</v>
      </c>
      <c r="BC173">
        <v>301</v>
      </c>
      <c r="BD173" t="s">
        <v>74</v>
      </c>
      <c r="BE173" t="s">
        <v>3119</v>
      </c>
      <c r="BF173" t="str">
        <f>HYPERLINK("http://dx.doi.org/10.1007/978-1-4020-6766-2_20","http://dx.doi.org/10.1007/978-1-4020-6766-2_20")</f>
        <v>http://dx.doi.org/10.1007/978-1-4020-6766-2_20</v>
      </c>
      <c r="BG173" t="s">
        <v>74</v>
      </c>
      <c r="BH173" t="s">
        <v>74</v>
      </c>
      <c r="BI173">
        <v>9</v>
      </c>
      <c r="BJ173" t="s">
        <v>3105</v>
      </c>
      <c r="BK173" t="s">
        <v>842</v>
      </c>
      <c r="BL173" t="s">
        <v>3106</v>
      </c>
      <c r="BM173" t="s">
        <v>3107</v>
      </c>
      <c r="BN173" t="s">
        <v>74</v>
      </c>
      <c r="BO173" t="s">
        <v>74</v>
      </c>
      <c r="BP173" t="s">
        <v>74</v>
      </c>
      <c r="BQ173" t="s">
        <v>74</v>
      </c>
      <c r="BR173" t="s">
        <v>100</v>
      </c>
      <c r="BS173" t="s">
        <v>3120</v>
      </c>
      <c r="BT173" t="str">
        <f>HYPERLINK("https%3A%2F%2Fwww.webofscience.com%2Fwos%2Fwoscc%2Ffull-record%2FWOS:000254027000020","View Full Record in Web of Science")</f>
        <v>View Full Record in Web of Science</v>
      </c>
    </row>
    <row r="174" spans="1:72" x14ac:dyDescent="0.15">
      <c r="A174" t="s">
        <v>816</v>
      </c>
      <c r="B174" t="s">
        <v>3121</v>
      </c>
      <c r="C174" t="s">
        <v>74</v>
      </c>
      <c r="D174" t="s">
        <v>3083</v>
      </c>
      <c r="E174" t="s">
        <v>74</v>
      </c>
      <c r="F174" t="s">
        <v>3122</v>
      </c>
      <c r="G174" t="s">
        <v>74</v>
      </c>
      <c r="H174" t="s">
        <v>74</v>
      </c>
      <c r="I174" t="s">
        <v>3123</v>
      </c>
      <c r="J174" t="s">
        <v>3086</v>
      </c>
      <c r="K174" t="s">
        <v>3087</v>
      </c>
      <c r="L174" t="s">
        <v>74</v>
      </c>
      <c r="M174" t="s">
        <v>78</v>
      </c>
      <c r="N174" t="s">
        <v>823</v>
      </c>
      <c r="O174" t="s">
        <v>3088</v>
      </c>
      <c r="P174" t="s">
        <v>3089</v>
      </c>
      <c r="Q174" t="s">
        <v>3090</v>
      </c>
      <c r="R174" t="s">
        <v>74</v>
      </c>
      <c r="S174" t="s">
        <v>74</v>
      </c>
      <c r="T174" t="s">
        <v>74</v>
      </c>
      <c r="U174" t="s">
        <v>3124</v>
      </c>
      <c r="V174" t="s">
        <v>3125</v>
      </c>
      <c r="W174" t="s">
        <v>3126</v>
      </c>
      <c r="X174" t="s">
        <v>3127</v>
      </c>
      <c r="Y174" t="s">
        <v>3128</v>
      </c>
      <c r="Z174" t="s">
        <v>3129</v>
      </c>
      <c r="AA174" t="s">
        <v>74</v>
      </c>
      <c r="AB174" t="s">
        <v>74</v>
      </c>
      <c r="AC174" t="s">
        <v>74</v>
      </c>
      <c r="AD174" t="s">
        <v>74</v>
      </c>
      <c r="AE174" t="s">
        <v>74</v>
      </c>
      <c r="AF174" t="s">
        <v>74</v>
      </c>
      <c r="AG174">
        <v>52</v>
      </c>
      <c r="AH174">
        <v>3</v>
      </c>
      <c r="AI174">
        <v>3</v>
      </c>
      <c r="AJ174">
        <v>0</v>
      </c>
      <c r="AK174">
        <v>2</v>
      </c>
      <c r="AL174" t="s">
        <v>1265</v>
      </c>
      <c r="AM174" t="s">
        <v>1317</v>
      </c>
      <c r="AN174" t="s">
        <v>1318</v>
      </c>
      <c r="AO174" t="s">
        <v>3100</v>
      </c>
      <c r="AP174" t="s">
        <v>74</v>
      </c>
      <c r="AQ174" t="s">
        <v>3101</v>
      </c>
      <c r="AR174" t="s">
        <v>3102</v>
      </c>
      <c r="AS174" t="s">
        <v>3103</v>
      </c>
      <c r="AT174" t="s">
        <v>74</v>
      </c>
      <c r="AU174">
        <v>2008</v>
      </c>
      <c r="AV174">
        <v>33</v>
      </c>
      <c r="AW174" t="s">
        <v>74</v>
      </c>
      <c r="AX174" t="s">
        <v>74</v>
      </c>
      <c r="AY174" t="s">
        <v>74</v>
      </c>
      <c r="AZ174" t="s">
        <v>74</v>
      </c>
      <c r="BA174" t="s">
        <v>74</v>
      </c>
      <c r="BB174">
        <v>303</v>
      </c>
      <c r="BC174" t="s">
        <v>865</v>
      </c>
      <c r="BD174" t="s">
        <v>74</v>
      </c>
      <c r="BE174" t="s">
        <v>3130</v>
      </c>
      <c r="BF174" t="str">
        <f>HYPERLINK("http://dx.doi.org/10.1007/978-1-4020-6766-2_21","http://dx.doi.org/10.1007/978-1-4020-6766-2_21")</f>
        <v>http://dx.doi.org/10.1007/978-1-4020-6766-2_21</v>
      </c>
      <c r="BG174" t="s">
        <v>74</v>
      </c>
      <c r="BH174" t="s">
        <v>74</v>
      </c>
      <c r="BI174">
        <v>4</v>
      </c>
      <c r="BJ174" t="s">
        <v>3105</v>
      </c>
      <c r="BK174" t="s">
        <v>842</v>
      </c>
      <c r="BL174" t="s">
        <v>3106</v>
      </c>
      <c r="BM174" t="s">
        <v>3107</v>
      </c>
      <c r="BN174" t="s">
        <v>74</v>
      </c>
      <c r="BO174" t="s">
        <v>74</v>
      </c>
      <c r="BP174" t="s">
        <v>74</v>
      </c>
      <c r="BQ174" t="s">
        <v>74</v>
      </c>
      <c r="BR174" t="s">
        <v>100</v>
      </c>
      <c r="BS174" t="s">
        <v>3131</v>
      </c>
      <c r="BT174" t="str">
        <f>HYPERLINK("https%3A%2F%2Fwww.webofscience.com%2Fwos%2Fwoscc%2Ffull-record%2FWOS:000254027000021","View Full Record in Web of Science")</f>
        <v>View Full Record in Web of Science</v>
      </c>
    </row>
    <row r="175" spans="1:72" x14ac:dyDescent="0.15">
      <c r="A175" t="s">
        <v>72</v>
      </c>
      <c r="B175" t="s">
        <v>3132</v>
      </c>
      <c r="C175" t="s">
        <v>74</v>
      </c>
      <c r="D175" t="s">
        <v>74</v>
      </c>
      <c r="E175" t="s">
        <v>74</v>
      </c>
      <c r="F175" t="s">
        <v>3133</v>
      </c>
      <c r="G175" t="s">
        <v>74</v>
      </c>
      <c r="H175" t="s">
        <v>74</v>
      </c>
      <c r="I175" t="s">
        <v>3134</v>
      </c>
      <c r="J175" t="s">
        <v>3135</v>
      </c>
      <c r="K175" t="s">
        <v>74</v>
      </c>
      <c r="L175" t="s">
        <v>74</v>
      </c>
      <c r="M175" t="s">
        <v>78</v>
      </c>
      <c r="N175" t="s">
        <v>79</v>
      </c>
      <c r="O175" t="s">
        <v>74</v>
      </c>
      <c r="P175" t="s">
        <v>74</v>
      </c>
      <c r="Q175" t="s">
        <v>74</v>
      </c>
      <c r="R175" t="s">
        <v>74</v>
      </c>
      <c r="S175" t="s">
        <v>74</v>
      </c>
      <c r="T175" t="s">
        <v>3136</v>
      </c>
      <c r="U175" t="s">
        <v>3137</v>
      </c>
      <c r="V175" t="s">
        <v>3138</v>
      </c>
      <c r="W175" t="s">
        <v>3139</v>
      </c>
      <c r="X175" t="s">
        <v>3140</v>
      </c>
      <c r="Y175" t="s">
        <v>3141</v>
      </c>
      <c r="Z175" t="s">
        <v>74</v>
      </c>
      <c r="AA175" t="s">
        <v>74</v>
      </c>
      <c r="AB175" t="s">
        <v>3142</v>
      </c>
      <c r="AC175" t="s">
        <v>74</v>
      </c>
      <c r="AD175" t="s">
        <v>74</v>
      </c>
      <c r="AE175" t="s">
        <v>74</v>
      </c>
      <c r="AF175" t="s">
        <v>74</v>
      </c>
      <c r="AG175">
        <v>11</v>
      </c>
      <c r="AH175">
        <v>4</v>
      </c>
      <c r="AI175">
        <v>4</v>
      </c>
      <c r="AJ175">
        <v>0</v>
      </c>
      <c r="AK175">
        <v>2</v>
      </c>
      <c r="AL175" t="s">
        <v>3143</v>
      </c>
      <c r="AM175" t="s">
        <v>2784</v>
      </c>
      <c r="AN175" t="s">
        <v>3144</v>
      </c>
      <c r="AO175" t="s">
        <v>3145</v>
      </c>
      <c r="AP175" t="s">
        <v>74</v>
      </c>
      <c r="AQ175" t="s">
        <v>74</v>
      </c>
      <c r="AR175" t="s">
        <v>3146</v>
      </c>
      <c r="AS175" t="s">
        <v>3147</v>
      </c>
      <c r="AT175" t="s">
        <v>74</v>
      </c>
      <c r="AU175">
        <v>2008</v>
      </c>
      <c r="AV175">
        <v>61</v>
      </c>
      <c r="AW175">
        <v>4</v>
      </c>
      <c r="AX175" t="s">
        <v>74</v>
      </c>
      <c r="AY175" t="s">
        <v>74</v>
      </c>
      <c r="AZ175" t="s">
        <v>74</v>
      </c>
      <c r="BA175" t="s">
        <v>74</v>
      </c>
      <c r="BB175">
        <v>481</v>
      </c>
      <c r="BC175">
        <v>486</v>
      </c>
      <c r="BD175" t="s">
        <v>74</v>
      </c>
      <c r="BE175" t="s">
        <v>74</v>
      </c>
      <c r="BF175" t="s">
        <v>74</v>
      </c>
      <c r="BG175" t="s">
        <v>74</v>
      </c>
      <c r="BH175" t="s">
        <v>74</v>
      </c>
      <c r="BI175">
        <v>6</v>
      </c>
      <c r="BJ175" t="s">
        <v>684</v>
      </c>
      <c r="BK175" t="s">
        <v>97</v>
      </c>
      <c r="BL175" t="s">
        <v>685</v>
      </c>
      <c r="BM175" t="s">
        <v>3148</v>
      </c>
      <c r="BN175" t="s">
        <v>74</v>
      </c>
      <c r="BO175" t="s">
        <v>74</v>
      </c>
      <c r="BP175" t="s">
        <v>74</v>
      </c>
      <c r="BQ175" t="s">
        <v>74</v>
      </c>
      <c r="BR175" t="s">
        <v>100</v>
      </c>
      <c r="BS175" t="s">
        <v>3149</v>
      </c>
      <c r="BT175" t="str">
        <f>HYPERLINK("https%3A%2F%2Fwww.webofscience.com%2Fwos%2Fwoscc%2Ffull-record%2FWOS:000256211100009","View Full Record in Web of Science")</f>
        <v>View Full Record in Web of Science</v>
      </c>
    </row>
    <row r="176" spans="1:72" x14ac:dyDescent="0.15">
      <c r="A176" t="s">
        <v>72</v>
      </c>
      <c r="B176" t="s">
        <v>3150</v>
      </c>
      <c r="C176" t="s">
        <v>74</v>
      </c>
      <c r="D176" t="s">
        <v>74</v>
      </c>
      <c r="E176" t="s">
        <v>74</v>
      </c>
      <c r="F176" t="s">
        <v>3151</v>
      </c>
      <c r="G176" t="s">
        <v>74</v>
      </c>
      <c r="H176" t="s">
        <v>74</v>
      </c>
      <c r="I176" t="s">
        <v>3152</v>
      </c>
      <c r="J176" t="s">
        <v>3153</v>
      </c>
      <c r="K176" t="s">
        <v>74</v>
      </c>
      <c r="L176" t="s">
        <v>74</v>
      </c>
      <c r="M176" t="s">
        <v>78</v>
      </c>
      <c r="N176" t="s">
        <v>79</v>
      </c>
      <c r="O176" t="s">
        <v>74</v>
      </c>
      <c r="P176" t="s">
        <v>74</v>
      </c>
      <c r="Q176" t="s">
        <v>74</v>
      </c>
      <c r="R176" t="s">
        <v>74</v>
      </c>
      <c r="S176" t="s">
        <v>74</v>
      </c>
      <c r="T176" t="s">
        <v>3154</v>
      </c>
      <c r="U176" t="s">
        <v>3155</v>
      </c>
      <c r="V176" t="s">
        <v>3156</v>
      </c>
      <c r="W176" t="s">
        <v>3157</v>
      </c>
      <c r="X176" t="s">
        <v>3158</v>
      </c>
      <c r="Y176" t="s">
        <v>3159</v>
      </c>
      <c r="Z176" t="s">
        <v>3160</v>
      </c>
      <c r="AA176" t="s">
        <v>3161</v>
      </c>
      <c r="AB176" t="s">
        <v>3162</v>
      </c>
      <c r="AC176" t="s">
        <v>3163</v>
      </c>
      <c r="AD176" t="s">
        <v>3164</v>
      </c>
      <c r="AE176" t="s">
        <v>3165</v>
      </c>
      <c r="AF176" t="s">
        <v>74</v>
      </c>
      <c r="AG176">
        <v>45</v>
      </c>
      <c r="AH176">
        <v>38</v>
      </c>
      <c r="AI176">
        <v>41</v>
      </c>
      <c r="AJ176">
        <v>1</v>
      </c>
      <c r="AK176">
        <v>23</v>
      </c>
      <c r="AL176" t="s">
        <v>1265</v>
      </c>
      <c r="AM176" t="s">
        <v>1317</v>
      </c>
      <c r="AN176" t="s">
        <v>2701</v>
      </c>
      <c r="AO176" t="s">
        <v>3166</v>
      </c>
      <c r="AP176" t="s">
        <v>3167</v>
      </c>
      <c r="AQ176" t="s">
        <v>74</v>
      </c>
      <c r="AR176" t="s">
        <v>3168</v>
      </c>
      <c r="AS176" t="s">
        <v>3169</v>
      </c>
      <c r="AT176" t="s">
        <v>74</v>
      </c>
      <c r="AU176">
        <v>2008</v>
      </c>
      <c r="AV176">
        <v>9</v>
      </c>
      <c r="AW176">
        <v>5</v>
      </c>
      <c r="AX176" t="s">
        <v>74</v>
      </c>
      <c r="AY176" t="s">
        <v>74</v>
      </c>
      <c r="AZ176" t="s">
        <v>74</v>
      </c>
      <c r="BA176" t="s">
        <v>74</v>
      </c>
      <c r="BB176">
        <v>1253</v>
      </c>
      <c r="BC176">
        <v>1262</v>
      </c>
      <c r="BD176" t="s">
        <v>74</v>
      </c>
      <c r="BE176" t="s">
        <v>3170</v>
      </c>
      <c r="BF176" t="str">
        <f>HYPERLINK("http://dx.doi.org/10.1007/s10592-007-9453-5","http://dx.doi.org/10.1007/s10592-007-9453-5")</f>
        <v>http://dx.doi.org/10.1007/s10592-007-9453-5</v>
      </c>
      <c r="BG176" t="s">
        <v>74</v>
      </c>
      <c r="BH176" t="s">
        <v>74</v>
      </c>
      <c r="BI176">
        <v>10</v>
      </c>
      <c r="BJ176" t="s">
        <v>3171</v>
      </c>
      <c r="BK176" t="s">
        <v>97</v>
      </c>
      <c r="BL176" t="s">
        <v>3172</v>
      </c>
      <c r="BM176" t="s">
        <v>3173</v>
      </c>
      <c r="BN176" t="s">
        <v>74</v>
      </c>
      <c r="BO176" t="s">
        <v>74</v>
      </c>
      <c r="BP176" t="s">
        <v>74</v>
      </c>
      <c r="BQ176" t="s">
        <v>74</v>
      </c>
      <c r="BR176" t="s">
        <v>100</v>
      </c>
      <c r="BS176" t="s">
        <v>3174</v>
      </c>
      <c r="BT176" t="str">
        <f>HYPERLINK("https%3A%2F%2Fwww.webofscience.com%2Fwos%2Fwoscc%2Ffull-record%2FWOS:000259195400015","View Full Record in Web of Science")</f>
        <v>View Full Record in Web of Science</v>
      </c>
    </row>
    <row r="177" spans="1:72" x14ac:dyDescent="0.15">
      <c r="A177" t="s">
        <v>72</v>
      </c>
      <c r="B177" t="s">
        <v>3175</v>
      </c>
      <c r="C177" t="s">
        <v>74</v>
      </c>
      <c r="D177" t="s">
        <v>74</v>
      </c>
      <c r="E177" t="s">
        <v>74</v>
      </c>
      <c r="F177" t="s">
        <v>3176</v>
      </c>
      <c r="G177" t="s">
        <v>74</v>
      </c>
      <c r="H177" t="s">
        <v>74</v>
      </c>
      <c r="I177" t="s">
        <v>3177</v>
      </c>
      <c r="J177" t="s">
        <v>3153</v>
      </c>
      <c r="K177" t="s">
        <v>74</v>
      </c>
      <c r="L177" t="s">
        <v>74</v>
      </c>
      <c r="M177" t="s">
        <v>78</v>
      </c>
      <c r="N177" t="s">
        <v>79</v>
      </c>
      <c r="O177" t="s">
        <v>74</v>
      </c>
      <c r="P177" t="s">
        <v>74</v>
      </c>
      <c r="Q177" t="s">
        <v>74</v>
      </c>
      <c r="R177" t="s">
        <v>74</v>
      </c>
      <c r="S177" t="s">
        <v>74</v>
      </c>
      <c r="T177" t="s">
        <v>3178</v>
      </c>
      <c r="U177" t="s">
        <v>3179</v>
      </c>
      <c r="V177" t="s">
        <v>3180</v>
      </c>
      <c r="W177" t="s">
        <v>3181</v>
      </c>
      <c r="X177" t="s">
        <v>3182</v>
      </c>
      <c r="Y177" t="s">
        <v>3183</v>
      </c>
      <c r="Z177" t="s">
        <v>3184</v>
      </c>
      <c r="AA177" t="s">
        <v>3185</v>
      </c>
      <c r="AB177" t="s">
        <v>3186</v>
      </c>
      <c r="AC177" t="s">
        <v>3187</v>
      </c>
      <c r="AD177" t="s">
        <v>3188</v>
      </c>
      <c r="AE177" t="s">
        <v>3189</v>
      </c>
      <c r="AF177" t="s">
        <v>74</v>
      </c>
      <c r="AG177">
        <v>21</v>
      </c>
      <c r="AH177">
        <v>27</v>
      </c>
      <c r="AI177">
        <v>30</v>
      </c>
      <c r="AJ177">
        <v>0</v>
      </c>
      <c r="AK177">
        <v>10</v>
      </c>
      <c r="AL177" t="s">
        <v>1265</v>
      </c>
      <c r="AM177" t="s">
        <v>1317</v>
      </c>
      <c r="AN177" t="s">
        <v>2701</v>
      </c>
      <c r="AO177" t="s">
        <v>3166</v>
      </c>
      <c r="AP177" t="s">
        <v>74</v>
      </c>
      <c r="AQ177" t="s">
        <v>74</v>
      </c>
      <c r="AR177" t="s">
        <v>3168</v>
      </c>
      <c r="AS177" t="s">
        <v>3169</v>
      </c>
      <c r="AT177" t="s">
        <v>74</v>
      </c>
      <c r="AU177">
        <v>2008</v>
      </c>
      <c r="AV177">
        <v>9</v>
      </c>
      <c r="AW177">
        <v>5</v>
      </c>
      <c r="AX177" t="s">
        <v>74</v>
      </c>
      <c r="AY177" t="s">
        <v>74</v>
      </c>
      <c r="AZ177" t="s">
        <v>74</v>
      </c>
      <c r="BA177" t="s">
        <v>74</v>
      </c>
      <c r="BB177">
        <v>1369</v>
      </c>
      <c r="BC177">
        <v>1372</v>
      </c>
      <c r="BD177" t="s">
        <v>74</v>
      </c>
      <c r="BE177" t="s">
        <v>3190</v>
      </c>
      <c r="BF177" t="str">
        <f>HYPERLINK("http://dx.doi.org/10.1007/s10592-007-9491-z","http://dx.doi.org/10.1007/s10592-007-9491-z")</f>
        <v>http://dx.doi.org/10.1007/s10592-007-9491-z</v>
      </c>
      <c r="BG177" t="s">
        <v>74</v>
      </c>
      <c r="BH177" t="s">
        <v>74</v>
      </c>
      <c r="BI177">
        <v>4</v>
      </c>
      <c r="BJ177" t="s">
        <v>3171</v>
      </c>
      <c r="BK177" t="s">
        <v>97</v>
      </c>
      <c r="BL177" t="s">
        <v>3172</v>
      </c>
      <c r="BM177" t="s">
        <v>3173</v>
      </c>
      <c r="BN177" t="s">
        <v>74</v>
      </c>
      <c r="BO177" t="s">
        <v>1050</v>
      </c>
      <c r="BP177" t="s">
        <v>74</v>
      </c>
      <c r="BQ177" t="s">
        <v>74</v>
      </c>
      <c r="BR177" t="s">
        <v>100</v>
      </c>
      <c r="BS177" t="s">
        <v>3191</v>
      </c>
      <c r="BT177" t="str">
        <f>HYPERLINK("https%3A%2F%2Fwww.webofscience.com%2Fwos%2Fwoscc%2Ffull-record%2FWOS:000259195400035","View Full Record in Web of Science")</f>
        <v>View Full Record in Web of Science</v>
      </c>
    </row>
    <row r="178" spans="1:72" x14ac:dyDescent="0.15">
      <c r="A178" t="s">
        <v>72</v>
      </c>
      <c r="B178" t="s">
        <v>3192</v>
      </c>
      <c r="C178" t="s">
        <v>74</v>
      </c>
      <c r="D178" t="s">
        <v>74</v>
      </c>
      <c r="E178" t="s">
        <v>74</v>
      </c>
      <c r="F178" t="s">
        <v>3193</v>
      </c>
      <c r="G178" t="s">
        <v>74</v>
      </c>
      <c r="H178" t="s">
        <v>74</v>
      </c>
      <c r="I178" t="s">
        <v>3194</v>
      </c>
      <c r="J178" t="s">
        <v>3195</v>
      </c>
      <c r="K178" t="s">
        <v>74</v>
      </c>
      <c r="L178" t="s">
        <v>74</v>
      </c>
      <c r="M178" t="s">
        <v>78</v>
      </c>
      <c r="N178" t="s">
        <v>79</v>
      </c>
      <c r="O178" t="s">
        <v>74</v>
      </c>
      <c r="P178" t="s">
        <v>74</v>
      </c>
      <c r="Q178" t="s">
        <v>74</v>
      </c>
      <c r="R178" t="s">
        <v>74</v>
      </c>
      <c r="S178" t="s">
        <v>74</v>
      </c>
      <c r="T178" t="s">
        <v>3196</v>
      </c>
      <c r="U178" t="s">
        <v>74</v>
      </c>
      <c r="V178" t="s">
        <v>3197</v>
      </c>
      <c r="W178" t="s">
        <v>3198</v>
      </c>
      <c r="X178" t="s">
        <v>3199</v>
      </c>
      <c r="Y178" t="s">
        <v>3200</v>
      </c>
      <c r="Z178" t="s">
        <v>3201</v>
      </c>
      <c r="AA178" t="s">
        <v>74</v>
      </c>
      <c r="AB178" t="s">
        <v>74</v>
      </c>
      <c r="AC178" t="s">
        <v>74</v>
      </c>
      <c r="AD178" t="s">
        <v>74</v>
      </c>
      <c r="AE178" t="s">
        <v>74</v>
      </c>
      <c r="AF178" t="s">
        <v>74</v>
      </c>
      <c r="AG178">
        <v>28</v>
      </c>
      <c r="AH178">
        <v>11</v>
      </c>
      <c r="AI178">
        <v>13</v>
      </c>
      <c r="AJ178">
        <v>2</v>
      </c>
      <c r="AK178">
        <v>12</v>
      </c>
      <c r="AL178" t="s">
        <v>2518</v>
      </c>
      <c r="AM178" t="s">
        <v>1421</v>
      </c>
      <c r="AN178" t="s">
        <v>2519</v>
      </c>
      <c r="AO178" t="s">
        <v>3202</v>
      </c>
      <c r="AP178" t="s">
        <v>74</v>
      </c>
      <c r="AQ178" t="s">
        <v>74</v>
      </c>
      <c r="AR178" t="s">
        <v>3203</v>
      </c>
      <c r="AS178" t="s">
        <v>3204</v>
      </c>
      <c r="AT178" t="s">
        <v>74</v>
      </c>
      <c r="AU178">
        <v>2008</v>
      </c>
      <c r="AV178">
        <v>22</v>
      </c>
      <c r="AW178">
        <v>1</v>
      </c>
      <c r="AX178" t="s">
        <v>74</v>
      </c>
      <c r="AY178" t="s">
        <v>74</v>
      </c>
      <c r="AZ178" t="s">
        <v>74</v>
      </c>
      <c r="BA178" t="s">
        <v>74</v>
      </c>
      <c r="BB178">
        <v>43</v>
      </c>
      <c r="BC178">
        <v>66</v>
      </c>
      <c r="BD178" t="s">
        <v>74</v>
      </c>
      <c r="BE178" t="s">
        <v>3205</v>
      </c>
      <c r="BF178" t="str">
        <f>HYPERLINK("http://dx.doi.org/10.1080/03004430601065781","http://dx.doi.org/10.1080/03004430601065781")</f>
        <v>http://dx.doi.org/10.1080/03004430601065781</v>
      </c>
      <c r="BG178" t="s">
        <v>74</v>
      </c>
      <c r="BH178" t="s">
        <v>74</v>
      </c>
      <c r="BI178">
        <v>24</v>
      </c>
      <c r="BJ178" t="s">
        <v>3206</v>
      </c>
      <c r="BK178" t="s">
        <v>3207</v>
      </c>
      <c r="BL178" t="s">
        <v>3206</v>
      </c>
      <c r="BM178" t="s">
        <v>3208</v>
      </c>
      <c r="BN178" t="s">
        <v>74</v>
      </c>
      <c r="BO178" t="s">
        <v>74</v>
      </c>
      <c r="BP178" t="s">
        <v>74</v>
      </c>
      <c r="BQ178" t="s">
        <v>74</v>
      </c>
      <c r="BR178" t="s">
        <v>100</v>
      </c>
      <c r="BS178" t="s">
        <v>3209</v>
      </c>
      <c r="BT178" t="str">
        <f>HYPERLINK("https%3A%2F%2Fwww.webofscience.com%2Fwos%2Fwoscc%2Ffull-record%2FWOS:000265780500003","View Full Record in Web of Science")</f>
        <v>View Full Record in Web of Science</v>
      </c>
    </row>
    <row r="179" spans="1:72" x14ac:dyDescent="0.15">
      <c r="A179" t="s">
        <v>1199</v>
      </c>
      <c r="B179" t="s">
        <v>3210</v>
      </c>
      <c r="C179" t="s">
        <v>74</v>
      </c>
      <c r="D179" t="s">
        <v>3210</v>
      </c>
      <c r="E179" t="s">
        <v>74</v>
      </c>
      <c r="F179" t="s">
        <v>3211</v>
      </c>
      <c r="G179" t="s">
        <v>74</v>
      </c>
      <c r="H179" t="s">
        <v>74</v>
      </c>
      <c r="I179" t="s">
        <v>3212</v>
      </c>
      <c r="J179" t="s">
        <v>3213</v>
      </c>
      <c r="K179" t="s">
        <v>3214</v>
      </c>
      <c r="L179" t="s">
        <v>74</v>
      </c>
      <c r="M179" t="s">
        <v>78</v>
      </c>
      <c r="N179" t="s">
        <v>2671</v>
      </c>
      <c r="O179" t="s">
        <v>74</v>
      </c>
      <c r="P179" t="s">
        <v>74</v>
      </c>
      <c r="Q179" t="s">
        <v>74</v>
      </c>
      <c r="R179" t="s">
        <v>74</v>
      </c>
      <c r="S179" t="s">
        <v>74</v>
      </c>
      <c r="T179" t="s">
        <v>74</v>
      </c>
      <c r="U179" t="s">
        <v>3215</v>
      </c>
      <c r="V179" t="s">
        <v>74</v>
      </c>
      <c r="W179" t="s">
        <v>3216</v>
      </c>
      <c r="X179" t="s">
        <v>3217</v>
      </c>
      <c r="Y179" t="s">
        <v>3218</v>
      </c>
      <c r="Z179" t="s">
        <v>3219</v>
      </c>
      <c r="AA179" t="s">
        <v>3220</v>
      </c>
      <c r="AB179" t="s">
        <v>3221</v>
      </c>
      <c r="AC179" t="s">
        <v>3222</v>
      </c>
      <c r="AD179" t="s">
        <v>3223</v>
      </c>
      <c r="AE179" t="s">
        <v>74</v>
      </c>
      <c r="AF179" t="s">
        <v>74</v>
      </c>
      <c r="AG179">
        <v>1255</v>
      </c>
      <c r="AH179">
        <v>1</v>
      </c>
      <c r="AI179">
        <v>1</v>
      </c>
      <c r="AJ179">
        <v>0</v>
      </c>
      <c r="AK179">
        <v>1</v>
      </c>
      <c r="AL179" t="s">
        <v>506</v>
      </c>
      <c r="AM179" t="s">
        <v>266</v>
      </c>
      <c r="AN179" t="s">
        <v>2120</v>
      </c>
      <c r="AO179" t="s">
        <v>3224</v>
      </c>
      <c r="AP179" t="s">
        <v>74</v>
      </c>
      <c r="AQ179" t="s">
        <v>3225</v>
      </c>
      <c r="AR179" t="s">
        <v>3226</v>
      </c>
      <c r="AS179" t="s">
        <v>74</v>
      </c>
      <c r="AT179" t="s">
        <v>74</v>
      </c>
      <c r="AU179">
        <v>2008</v>
      </c>
      <c r="AV179">
        <v>60</v>
      </c>
      <c r="AW179" t="s">
        <v>74</v>
      </c>
      <c r="AX179" t="s">
        <v>74</v>
      </c>
      <c r="AY179" t="s">
        <v>74</v>
      </c>
      <c r="AZ179" t="s">
        <v>74</v>
      </c>
      <c r="BA179" t="s">
        <v>74</v>
      </c>
      <c r="BB179" t="s">
        <v>3227</v>
      </c>
      <c r="BC179" t="s">
        <v>865</v>
      </c>
      <c r="BD179" t="s">
        <v>74</v>
      </c>
      <c r="BE179" t="s">
        <v>74</v>
      </c>
      <c r="BF179" t="s">
        <v>74</v>
      </c>
      <c r="BG179" t="s">
        <v>74</v>
      </c>
      <c r="BH179" t="s">
        <v>74</v>
      </c>
      <c r="BI179">
        <v>59</v>
      </c>
      <c r="BJ179" t="s">
        <v>98</v>
      </c>
      <c r="BK179" t="s">
        <v>1537</v>
      </c>
      <c r="BL179" t="s">
        <v>98</v>
      </c>
      <c r="BM179" t="s">
        <v>3228</v>
      </c>
      <c r="BN179" t="s">
        <v>74</v>
      </c>
      <c r="BO179" t="s">
        <v>74</v>
      </c>
      <c r="BP179" t="s">
        <v>74</v>
      </c>
      <c r="BQ179" t="s">
        <v>74</v>
      </c>
      <c r="BR179" t="s">
        <v>100</v>
      </c>
      <c r="BS179" t="s">
        <v>3229</v>
      </c>
      <c r="BT179" t="str">
        <f>HYPERLINK("https%3A%2F%2Fwww.webofscience.com%2Fwos%2Fwoscc%2Ffull-record%2FWOS:000326587500001","View Full Record in Web of Science")</f>
        <v>View Full Record in Web of Science</v>
      </c>
    </row>
    <row r="180" spans="1:72" x14ac:dyDescent="0.15">
      <c r="A180" t="s">
        <v>72</v>
      </c>
      <c r="B180" t="s">
        <v>3230</v>
      </c>
      <c r="C180" t="s">
        <v>74</v>
      </c>
      <c r="D180" t="s">
        <v>74</v>
      </c>
      <c r="E180" t="s">
        <v>74</v>
      </c>
      <c r="F180" t="s">
        <v>3231</v>
      </c>
      <c r="G180" t="s">
        <v>74</v>
      </c>
      <c r="H180" t="s">
        <v>74</v>
      </c>
      <c r="I180" t="s">
        <v>3232</v>
      </c>
      <c r="J180" t="s">
        <v>3233</v>
      </c>
      <c r="K180" t="s">
        <v>74</v>
      </c>
      <c r="L180" t="s">
        <v>74</v>
      </c>
      <c r="M180" t="s">
        <v>78</v>
      </c>
      <c r="N180" t="s">
        <v>79</v>
      </c>
      <c r="O180" t="s">
        <v>74</v>
      </c>
      <c r="P180" t="s">
        <v>74</v>
      </c>
      <c r="Q180" t="s">
        <v>74</v>
      </c>
      <c r="R180" t="s">
        <v>74</v>
      </c>
      <c r="S180" t="s">
        <v>74</v>
      </c>
      <c r="T180" t="s">
        <v>74</v>
      </c>
      <c r="U180" t="s">
        <v>74</v>
      </c>
      <c r="V180" t="s">
        <v>3234</v>
      </c>
      <c r="W180" t="s">
        <v>3235</v>
      </c>
      <c r="X180" t="s">
        <v>3236</v>
      </c>
      <c r="Y180" t="s">
        <v>3237</v>
      </c>
      <c r="Z180" t="s">
        <v>3238</v>
      </c>
      <c r="AA180" t="s">
        <v>3239</v>
      </c>
      <c r="AB180" t="s">
        <v>3240</v>
      </c>
      <c r="AC180" t="s">
        <v>74</v>
      </c>
      <c r="AD180" t="s">
        <v>74</v>
      </c>
      <c r="AE180" t="s">
        <v>74</v>
      </c>
      <c r="AF180" t="s">
        <v>74</v>
      </c>
      <c r="AG180">
        <v>14</v>
      </c>
      <c r="AH180">
        <v>28</v>
      </c>
      <c r="AI180">
        <v>29</v>
      </c>
      <c r="AJ180">
        <v>0</v>
      </c>
      <c r="AK180">
        <v>5</v>
      </c>
      <c r="AL180" t="s">
        <v>1552</v>
      </c>
      <c r="AM180" t="s">
        <v>1553</v>
      </c>
      <c r="AN180" t="s">
        <v>1554</v>
      </c>
      <c r="AO180" t="s">
        <v>3241</v>
      </c>
      <c r="AP180" t="s">
        <v>3242</v>
      </c>
      <c r="AQ180" t="s">
        <v>74</v>
      </c>
      <c r="AR180" t="s">
        <v>3233</v>
      </c>
      <c r="AS180" t="s">
        <v>3243</v>
      </c>
      <c r="AT180" t="s">
        <v>74</v>
      </c>
      <c r="AU180">
        <v>2008</v>
      </c>
      <c r="AV180">
        <v>2</v>
      </c>
      <c r="AW180">
        <v>1</v>
      </c>
      <c r="AX180" t="s">
        <v>74</v>
      </c>
      <c r="AY180" t="s">
        <v>74</v>
      </c>
      <c r="AZ180" t="s">
        <v>74</v>
      </c>
      <c r="BA180" t="s">
        <v>74</v>
      </c>
      <c r="BB180">
        <v>1</v>
      </c>
      <c r="BC180">
        <v>12</v>
      </c>
      <c r="BD180" t="s">
        <v>74</v>
      </c>
      <c r="BE180" t="s">
        <v>74</v>
      </c>
      <c r="BF180" t="s">
        <v>74</v>
      </c>
      <c r="BG180" t="s">
        <v>74</v>
      </c>
      <c r="BH180" t="s">
        <v>74</v>
      </c>
      <c r="BI180">
        <v>12</v>
      </c>
      <c r="BJ180" t="s">
        <v>2748</v>
      </c>
      <c r="BK180" t="s">
        <v>97</v>
      </c>
      <c r="BL180" t="s">
        <v>2749</v>
      </c>
      <c r="BM180" t="s">
        <v>3244</v>
      </c>
      <c r="BN180" t="s">
        <v>74</v>
      </c>
      <c r="BO180" t="s">
        <v>1581</v>
      </c>
      <c r="BP180" t="s">
        <v>74</v>
      </c>
      <c r="BQ180" t="s">
        <v>74</v>
      </c>
      <c r="BR180" t="s">
        <v>100</v>
      </c>
      <c r="BS180" t="s">
        <v>3245</v>
      </c>
      <c r="BT180" t="str">
        <f>HYPERLINK("https%3A%2F%2Fwww.webofscience.com%2Fwos%2Fwoscc%2Ffull-record%2FWOS:000207505100001","View Full Record in Web of Science")</f>
        <v>View Full Record in Web of Science</v>
      </c>
    </row>
    <row r="181" spans="1:72" x14ac:dyDescent="0.15">
      <c r="A181" t="s">
        <v>72</v>
      </c>
      <c r="B181" t="s">
        <v>3246</v>
      </c>
      <c r="C181" t="s">
        <v>74</v>
      </c>
      <c r="D181" t="s">
        <v>74</v>
      </c>
      <c r="E181" t="s">
        <v>74</v>
      </c>
      <c r="F181" t="s">
        <v>3247</v>
      </c>
      <c r="G181" t="s">
        <v>74</v>
      </c>
      <c r="H181" t="s">
        <v>74</v>
      </c>
      <c r="I181" t="s">
        <v>3248</v>
      </c>
      <c r="J181" t="s">
        <v>3233</v>
      </c>
      <c r="K181" t="s">
        <v>74</v>
      </c>
      <c r="L181" t="s">
        <v>74</v>
      </c>
      <c r="M181" t="s">
        <v>78</v>
      </c>
      <c r="N181" t="s">
        <v>79</v>
      </c>
      <c r="O181" t="s">
        <v>74</v>
      </c>
      <c r="P181" t="s">
        <v>74</v>
      </c>
      <c r="Q181" t="s">
        <v>74</v>
      </c>
      <c r="R181" t="s">
        <v>74</v>
      </c>
      <c r="S181" t="s">
        <v>74</v>
      </c>
      <c r="T181" t="s">
        <v>74</v>
      </c>
      <c r="U181" t="s">
        <v>3249</v>
      </c>
      <c r="V181" t="s">
        <v>3250</v>
      </c>
      <c r="W181" t="s">
        <v>3251</v>
      </c>
      <c r="X181" t="s">
        <v>440</v>
      </c>
      <c r="Y181" t="s">
        <v>3252</v>
      </c>
      <c r="Z181" t="s">
        <v>3253</v>
      </c>
      <c r="AA181" t="s">
        <v>3254</v>
      </c>
      <c r="AB181" t="s">
        <v>3255</v>
      </c>
      <c r="AC181" t="s">
        <v>74</v>
      </c>
      <c r="AD181" t="s">
        <v>74</v>
      </c>
      <c r="AE181" t="s">
        <v>74</v>
      </c>
      <c r="AF181" t="s">
        <v>74</v>
      </c>
      <c r="AG181">
        <v>15</v>
      </c>
      <c r="AH181">
        <v>29</v>
      </c>
      <c r="AI181">
        <v>30</v>
      </c>
      <c r="AJ181">
        <v>0</v>
      </c>
      <c r="AK181">
        <v>2</v>
      </c>
      <c r="AL181" t="s">
        <v>1552</v>
      </c>
      <c r="AM181" t="s">
        <v>1553</v>
      </c>
      <c r="AN181" t="s">
        <v>1554</v>
      </c>
      <c r="AO181" t="s">
        <v>3241</v>
      </c>
      <c r="AP181" t="s">
        <v>3242</v>
      </c>
      <c r="AQ181" t="s">
        <v>74</v>
      </c>
      <c r="AR181" t="s">
        <v>3233</v>
      </c>
      <c r="AS181" t="s">
        <v>3243</v>
      </c>
      <c r="AT181" t="s">
        <v>74</v>
      </c>
      <c r="AU181">
        <v>2008</v>
      </c>
      <c r="AV181">
        <v>2</v>
      </c>
      <c r="AW181">
        <v>2</v>
      </c>
      <c r="AX181" t="s">
        <v>74</v>
      </c>
      <c r="AY181" t="s">
        <v>74</v>
      </c>
      <c r="AZ181" t="s">
        <v>74</v>
      </c>
      <c r="BA181" t="s">
        <v>74</v>
      </c>
      <c r="BB181">
        <v>77</v>
      </c>
      <c r="BC181">
        <v>93</v>
      </c>
      <c r="BD181" t="s">
        <v>74</v>
      </c>
      <c r="BE181" t="s">
        <v>3256</v>
      </c>
      <c r="BF181" t="str">
        <f>HYPERLINK("http://dx.doi.org/10.5194/tc-2-77-2008","http://dx.doi.org/10.5194/tc-2-77-2008")</f>
        <v>http://dx.doi.org/10.5194/tc-2-77-2008</v>
      </c>
      <c r="BG181" t="s">
        <v>74</v>
      </c>
      <c r="BH181" t="s">
        <v>74</v>
      </c>
      <c r="BI181">
        <v>17</v>
      </c>
      <c r="BJ181" t="s">
        <v>2748</v>
      </c>
      <c r="BK181" t="s">
        <v>97</v>
      </c>
      <c r="BL181" t="s">
        <v>2749</v>
      </c>
      <c r="BM181" t="s">
        <v>3257</v>
      </c>
      <c r="BN181" t="s">
        <v>74</v>
      </c>
      <c r="BO181" t="s">
        <v>3258</v>
      </c>
      <c r="BP181" t="s">
        <v>74</v>
      </c>
      <c r="BQ181" t="s">
        <v>74</v>
      </c>
      <c r="BR181" t="s">
        <v>100</v>
      </c>
      <c r="BS181" t="s">
        <v>3259</v>
      </c>
      <c r="BT181" t="str">
        <f>HYPERLINK("https%3A%2F%2Fwww.webofscience.com%2Fwos%2Fwoscc%2Ffull-record%2FWOS:000207505200001","View Full Record in Web of Science")</f>
        <v>View Full Record in Web of Science</v>
      </c>
    </row>
    <row r="182" spans="1:72" x14ac:dyDescent="0.15">
      <c r="A182" t="s">
        <v>72</v>
      </c>
      <c r="B182" t="s">
        <v>3260</v>
      </c>
      <c r="C182" t="s">
        <v>74</v>
      </c>
      <c r="D182" t="s">
        <v>74</v>
      </c>
      <c r="E182" t="s">
        <v>74</v>
      </c>
      <c r="F182" t="s">
        <v>3261</v>
      </c>
      <c r="G182" t="s">
        <v>74</v>
      </c>
      <c r="H182" t="s">
        <v>74</v>
      </c>
      <c r="I182" t="s">
        <v>3262</v>
      </c>
      <c r="J182" t="s">
        <v>3233</v>
      </c>
      <c r="K182" t="s">
        <v>74</v>
      </c>
      <c r="L182" t="s">
        <v>74</v>
      </c>
      <c r="M182" t="s">
        <v>78</v>
      </c>
      <c r="N182" t="s">
        <v>79</v>
      </c>
      <c r="O182" t="s">
        <v>74</v>
      </c>
      <c r="P182" t="s">
        <v>74</v>
      </c>
      <c r="Q182" t="s">
        <v>74</v>
      </c>
      <c r="R182" t="s">
        <v>74</v>
      </c>
      <c r="S182" t="s">
        <v>74</v>
      </c>
      <c r="T182" t="s">
        <v>74</v>
      </c>
      <c r="U182" t="s">
        <v>3263</v>
      </c>
      <c r="V182" t="s">
        <v>3264</v>
      </c>
      <c r="W182" t="s">
        <v>3265</v>
      </c>
      <c r="X182" t="s">
        <v>3266</v>
      </c>
      <c r="Y182" t="s">
        <v>3267</v>
      </c>
      <c r="Z182" t="s">
        <v>3268</v>
      </c>
      <c r="AA182" t="s">
        <v>3269</v>
      </c>
      <c r="AB182" t="s">
        <v>3270</v>
      </c>
      <c r="AC182" t="s">
        <v>3271</v>
      </c>
      <c r="AD182" t="s">
        <v>3271</v>
      </c>
      <c r="AE182" t="s">
        <v>3272</v>
      </c>
      <c r="AF182" t="s">
        <v>74</v>
      </c>
      <c r="AG182">
        <v>31</v>
      </c>
      <c r="AH182">
        <v>158</v>
      </c>
      <c r="AI182">
        <v>171</v>
      </c>
      <c r="AJ182">
        <v>0</v>
      </c>
      <c r="AK182">
        <v>29</v>
      </c>
      <c r="AL182" t="s">
        <v>1552</v>
      </c>
      <c r="AM182" t="s">
        <v>1553</v>
      </c>
      <c r="AN182" t="s">
        <v>1554</v>
      </c>
      <c r="AO182" t="s">
        <v>3241</v>
      </c>
      <c r="AP182" t="s">
        <v>3242</v>
      </c>
      <c r="AQ182" t="s">
        <v>74</v>
      </c>
      <c r="AR182" t="s">
        <v>3233</v>
      </c>
      <c r="AS182" t="s">
        <v>3243</v>
      </c>
      <c r="AT182" t="s">
        <v>74</v>
      </c>
      <c r="AU182">
        <v>2008</v>
      </c>
      <c r="AV182">
        <v>2</v>
      </c>
      <c r="AW182">
        <v>2</v>
      </c>
      <c r="AX182" t="s">
        <v>74</v>
      </c>
      <c r="AY182" t="s">
        <v>74</v>
      </c>
      <c r="AZ182" t="s">
        <v>74</v>
      </c>
      <c r="BA182" t="s">
        <v>74</v>
      </c>
      <c r="BB182">
        <v>95</v>
      </c>
      <c r="BC182">
        <v>108</v>
      </c>
      <c r="BD182" t="s">
        <v>74</v>
      </c>
      <c r="BE182" t="s">
        <v>3273</v>
      </c>
      <c r="BF182" t="str">
        <f>HYPERLINK("http://dx.doi.org/10.5194/tc-2-95-2008","http://dx.doi.org/10.5194/tc-2-95-2008")</f>
        <v>http://dx.doi.org/10.5194/tc-2-95-2008</v>
      </c>
      <c r="BG182" t="s">
        <v>74</v>
      </c>
      <c r="BH182" t="s">
        <v>74</v>
      </c>
      <c r="BI182">
        <v>14</v>
      </c>
      <c r="BJ182" t="s">
        <v>2748</v>
      </c>
      <c r="BK182" t="s">
        <v>97</v>
      </c>
      <c r="BL182" t="s">
        <v>2749</v>
      </c>
      <c r="BM182" t="s">
        <v>3257</v>
      </c>
      <c r="BN182" t="s">
        <v>74</v>
      </c>
      <c r="BO182" t="s">
        <v>3274</v>
      </c>
      <c r="BP182" t="s">
        <v>74</v>
      </c>
      <c r="BQ182" t="s">
        <v>74</v>
      </c>
      <c r="BR182" t="s">
        <v>100</v>
      </c>
      <c r="BS182" t="s">
        <v>3275</v>
      </c>
      <c r="BT182" t="str">
        <f>HYPERLINK("https%3A%2F%2Fwww.webofscience.com%2Fwos%2Fwoscc%2Ffull-record%2FWOS:000207505200002","View Full Record in Web of Science")</f>
        <v>View Full Record in Web of Science</v>
      </c>
    </row>
    <row r="183" spans="1:72" x14ac:dyDescent="0.15">
      <c r="A183" t="s">
        <v>72</v>
      </c>
      <c r="B183" t="s">
        <v>3276</v>
      </c>
      <c r="C183" t="s">
        <v>74</v>
      </c>
      <c r="D183" t="s">
        <v>74</v>
      </c>
      <c r="E183" t="s">
        <v>74</v>
      </c>
      <c r="F183" t="s">
        <v>3277</v>
      </c>
      <c r="G183" t="s">
        <v>74</v>
      </c>
      <c r="H183" t="s">
        <v>74</v>
      </c>
      <c r="I183" t="s">
        <v>3278</v>
      </c>
      <c r="J183" t="s">
        <v>3233</v>
      </c>
      <c r="K183" t="s">
        <v>74</v>
      </c>
      <c r="L183" t="s">
        <v>74</v>
      </c>
      <c r="M183" t="s">
        <v>78</v>
      </c>
      <c r="N183" t="s">
        <v>79</v>
      </c>
      <c r="O183" t="s">
        <v>74</v>
      </c>
      <c r="P183" t="s">
        <v>74</v>
      </c>
      <c r="Q183" t="s">
        <v>74</v>
      </c>
      <c r="R183" t="s">
        <v>74</v>
      </c>
      <c r="S183" t="s">
        <v>74</v>
      </c>
      <c r="T183" t="s">
        <v>74</v>
      </c>
      <c r="U183" t="s">
        <v>74</v>
      </c>
      <c r="V183" t="s">
        <v>3279</v>
      </c>
      <c r="W183" t="s">
        <v>3280</v>
      </c>
      <c r="X183" t="s">
        <v>3281</v>
      </c>
      <c r="Y183" t="s">
        <v>3282</v>
      </c>
      <c r="Z183" t="s">
        <v>3283</v>
      </c>
      <c r="AA183" t="s">
        <v>3284</v>
      </c>
      <c r="AB183" t="s">
        <v>3285</v>
      </c>
      <c r="AC183" t="s">
        <v>3286</v>
      </c>
      <c r="AD183" t="s">
        <v>3286</v>
      </c>
      <c r="AE183" t="s">
        <v>3287</v>
      </c>
      <c r="AF183" t="s">
        <v>74</v>
      </c>
      <c r="AG183">
        <v>23</v>
      </c>
      <c r="AH183">
        <v>20</v>
      </c>
      <c r="AI183">
        <v>22</v>
      </c>
      <c r="AJ183">
        <v>0</v>
      </c>
      <c r="AK183">
        <v>6</v>
      </c>
      <c r="AL183" t="s">
        <v>1552</v>
      </c>
      <c r="AM183" t="s">
        <v>1553</v>
      </c>
      <c r="AN183" t="s">
        <v>1554</v>
      </c>
      <c r="AO183" t="s">
        <v>3241</v>
      </c>
      <c r="AP183" t="s">
        <v>3242</v>
      </c>
      <c r="AQ183" t="s">
        <v>74</v>
      </c>
      <c r="AR183" t="s">
        <v>3233</v>
      </c>
      <c r="AS183" t="s">
        <v>3243</v>
      </c>
      <c r="AT183" t="s">
        <v>74</v>
      </c>
      <c r="AU183">
        <v>2008</v>
      </c>
      <c r="AV183">
        <v>2</v>
      </c>
      <c r="AW183">
        <v>2</v>
      </c>
      <c r="AX183" t="s">
        <v>74</v>
      </c>
      <c r="AY183" t="s">
        <v>74</v>
      </c>
      <c r="AZ183" t="s">
        <v>74</v>
      </c>
      <c r="BA183" t="s">
        <v>74</v>
      </c>
      <c r="BB183">
        <v>109</v>
      </c>
      <c r="BC183">
        <v>115</v>
      </c>
      <c r="BD183" t="s">
        <v>74</v>
      </c>
      <c r="BE183" t="s">
        <v>3288</v>
      </c>
      <c r="BF183" t="str">
        <f>HYPERLINK("http://dx.doi.org/10.5194/tc-2-109-2008","http://dx.doi.org/10.5194/tc-2-109-2008")</f>
        <v>http://dx.doi.org/10.5194/tc-2-109-2008</v>
      </c>
      <c r="BG183" t="s">
        <v>74</v>
      </c>
      <c r="BH183" t="s">
        <v>74</v>
      </c>
      <c r="BI183">
        <v>7</v>
      </c>
      <c r="BJ183" t="s">
        <v>2748</v>
      </c>
      <c r="BK183" t="s">
        <v>97</v>
      </c>
      <c r="BL183" t="s">
        <v>2749</v>
      </c>
      <c r="BM183" t="s">
        <v>3257</v>
      </c>
      <c r="BN183" t="s">
        <v>74</v>
      </c>
      <c r="BO183" t="s">
        <v>1581</v>
      </c>
      <c r="BP183" t="s">
        <v>74</v>
      </c>
      <c r="BQ183" t="s">
        <v>74</v>
      </c>
      <c r="BR183" t="s">
        <v>100</v>
      </c>
      <c r="BS183" t="s">
        <v>3289</v>
      </c>
      <c r="BT183" t="str">
        <f>HYPERLINK("https%3A%2F%2Fwww.webofscience.com%2Fwos%2Fwoscc%2Ffull-record%2FWOS:000207505200003","View Full Record in Web of Science")</f>
        <v>View Full Record in Web of Science</v>
      </c>
    </row>
    <row r="184" spans="1:72" x14ac:dyDescent="0.15">
      <c r="A184" t="s">
        <v>72</v>
      </c>
      <c r="B184" t="s">
        <v>3290</v>
      </c>
      <c r="C184" t="s">
        <v>74</v>
      </c>
      <c r="D184" t="s">
        <v>74</v>
      </c>
      <c r="E184" t="s">
        <v>74</v>
      </c>
      <c r="F184" t="s">
        <v>3291</v>
      </c>
      <c r="G184" t="s">
        <v>74</v>
      </c>
      <c r="H184" t="s">
        <v>74</v>
      </c>
      <c r="I184" t="s">
        <v>3292</v>
      </c>
      <c r="J184" t="s">
        <v>3233</v>
      </c>
      <c r="K184" t="s">
        <v>74</v>
      </c>
      <c r="L184" t="s">
        <v>74</v>
      </c>
      <c r="M184" t="s">
        <v>78</v>
      </c>
      <c r="N184" t="s">
        <v>79</v>
      </c>
      <c r="O184" t="s">
        <v>74</v>
      </c>
      <c r="P184" t="s">
        <v>74</v>
      </c>
      <c r="Q184" t="s">
        <v>74</v>
      </c>
      <c r="R184" t="s">
        <v>74</v>
      </c>
      <c r="S184" t="s">
        <v>74</v>
      </c>
      <c r="T184" t="s">
        <v>74</v>
      </c>
      <c r="U184" t="s">
        <v>3293</v>
      </c>
      <c r="V184" t="s">
        <v>3294</v>
      </c>
      <c r="W184" t="s">
        <v>3295</v>
      </c>
      <c r="X184" t="s">
        <v>440</v>
      </c>
      <c r="Y184" t="s">
        <v>3296</v>
      </c>
      <c r="Z184" t="s">
        <v>3253</v>
      </c>
      <c r="AA184" t="s">
        <v>3297</v>
      </c>
      <c r="AB184" t="s">
        <v>3255</v>
      </c>
      <c r="AC184" t="s">
        <v>3298</v>
      </c>
      <c r="AD184" t="s">
        <v>444</v>
      </c>
      <c r="AE184" t="s">
        <v>74</v>
      </c>
      <c r="AF184" t="s">
        <v>74</v>
      </c>
      <c r="AG184">
        <v>28</v>
      </c>
      <c r="AH184">
        <v>41</v>
      </c>
      <c r="AI184">
        <v>43</v>
      </c>
      <c r="AJ184">
        <v>0</v>
      </c>
      <c r="AK184">
        <v>6</v>
      </c>
      <c r="AL184" t="s">
        <v>1552</v>
      </c>
      <c r="AM184" t="s">
        <v>1553</v>
      </c>
      <c r="AN184" t="s">
        <v>1554</v>
      </c>
      <c r="AO184" t="s">
        <v>3241</v>
      </c>
      <c r="AP184" t="s">
        <v>3242</v>
      </c>
      <c r="AQ184" t="s">
        <v>74</v>
      </c>
      <c r="AR184" t="s">
        <v>3233</v>
      </c>
      <c r="AS184" t="s">
        <v>3243</v>
      </c>
      <c r="AT184" t="s">
        <v>74</v>
      </c>
      <c r="AU184">
        <v>2008</v>
      </c>
      <c r="AV184">
        <v>2</v>
      </c>
      <c r="AW184">
        <v>2</v>
      </c>
      <c r="AX184" t="s">
        <v>74</v>
      </c>
      <c r="AY184" t="s">
        <v>74</v>
      </c>
      <c r="AZ184" t="s">
        <v>74</v>
      </c>
      <c r="BA184" t="s">
        <v>74</v>
      </c>
      <c r="BB184">
        <v>167</v>
      </c>
      <c r="BC184">
        <v>178</v>
      </c>
      <c r="BD184" t="s">
        <v>74</v>
      </c>
      <c r="BE184" t="s">
        <v>3299</v>
      </c>
      <c r="BF184" t="str">
        <f>HYPERLINK("http://dx.doi.org/10.5194/tc-2-167-2008","http://dx.doi.org/10.5194/tc-2-167-2008")</f>
        <v>http://dx.doi.org/10.5194/tc-2-167-2008</v>
      </c>
      <c r="BG184" t="s">
        <v>74</v>
      </c>
      <c r="BH184" t="s">
        <v>74</v>
      </c>
      <c r="BI184">
        <v>12</v>
      </c>
      <c r="BJ184" t="s">
        <v>2748</v>
      </c>
      <c r="BK184" t="s">
        <v>97</v>
      </c>
      <c r="BL184" t="s">
        <v>2749</v>
      </c>
      <c r="BM184" t="s">
        <v>3257</v>
      </c>
      <c r="BN184" t="s">
        <v>74</v>
      </c>
      <c r="BO184" t="s">
        <v>3300</v>
      </c>
      <c r="BP184" t="s">
        <v>74</v>
      </c>
      <c r="BQ184" t="s">
        <v>74</v>
      </c>
      <c r="BR184" t="s">
        <v>100</v>
      </c>
      <c r="BS184" t="s">
        <v>3301</v>
      </c>
      <c r="BT184" t="str">
        <f>HYPERLINK("https%3A%2F%2Fwww.webofscience.com%2Fwos%2Fwoscc%2Ffull-record%2FWOS:000207505200008","View Full Record in Web of Science")</f>
        <v>View Full Record in Web of Science</v>
      </c>
    </row>
    <row r="185" spans="1:72" x14ac:dyDescent="0.15">
      <c r="A185" t="s">
        <v>72</v>
      </c>
      <c r="B185" t="s">
        <v>3302</v>
      </c>
      <c r="C185" t="s">
        <v>74</v>
      </c>
      <c r="D185" t="s">
        <v>74</v>
      </c>
      <c r="E185" t="s">
        <v>74</v>
      </c>
      <c r="F185" t="s">
        <v>3303</v>
      </c>
      <c r="G185" t="s">
        <v>74</v>
      </c>
      <c r="H185" t="s">
        <v>74</v>
      </c>
      <c r="I185" t="s">
        <v>3304</v>
      </c>
      <c r="J185" t="s">
        <v>3305</v>
      </c>
      <c r="K185" t="s">
        <v>74</v>
      </c>
      <c r="L185" t="s">
        <v>74</v>
      </c>
      <c r="M185" t="s">
        <v>78</v>
      </c>
      <c r="N185" t="s">
        <v>79</v>
      </c>
      <c r="O185" t="s">
        <v>74</v>
      </c>
      <c r="P185" t="s">
        <v>74</v>
      </c>
      <c r="Q185" t="s">
        <v>74</v>
      </c>
      <c r="R185" t="s">
        <v>74</v>
      </c>
      <c r="S185" t="s">
        <v>74</v>
      </c>
      <c r="T185" t="s">
        <v>3306</v>
      </c>
      <c r="U185" t="s">
        <v>3307</v>
      </c>
      <c r="V185" t="s">
        <v>3308</v>
      </c>
      <c r="W185" t="s">
        <v>3309</v>
      </c>
      <c r="X185" t="s">
        <v>3310</v>
      </c>
      <c r="Y185" t="s">
        <v>3311</v>
      </c>
      <c r="Z185" t="s">
        <v>3312</v>
      </c>
      <c r="AA185" t="s">
        <v>3313</v>
      </c>
      <c r="AB185" t="s">
        <v>3314</v>
      </c>
      <c r="AC185" t="s">
        <v>74</v>
      </c>
      <c r="AD185" t="s">
        <v>74</v>
      </c>
      <c r="AE185" t="s">
        <v>74</v>
      </c>
      <c r="AF185" t="s">
        <v>74</v>
      </c>
      <c r="AG185">
        <v>68</v>
      </c>
      <c r="AH185">
        <v>49</v>
      </c>
      <c r="AI185">
        <v>56</v>
      </c>
      <c r="AJ185">
        <v>3</v>
      </c>
      <c r="AK185">
        <v>50</v>
      </c>
      <c r="AL185" t="s">
        <v>521</v>
      </c>
      <c r="AM185" t="s">
        <v>522</v>
      </c>
      <c r="AN185" t="s">
        <v>523</v>
      </c>
      <c r="AO185" t="s">
        <v>3315</v>
      </c>
      <c r="AP185" t="s">
        <v>74</v>
      </c>
      <c r="AQ185" t="s">
        <v>74</v>
      </c>
      <c r="AR185" t="s">
        <v>3316</v>
      </c>
      <c r="AS185" t="s">
        <v>3317</v>
      </c>
      <c r="AT185" t="s">
        <v>1490</v>
      </c>
      <c r="AU185">
        <v>2008</v>
      </c>
      <c r="AV185">
        <v>55</v>
      </c>
      <c r="AW185">
        <v>1</v>
      </c>
      <c r="AX185" t="s">
        <v>74</v>
      </c>
      <c r="AY185" t="s">
        <v>74</v>
      </c>
      <c r="AZ185" t="s">
        <v>74</v>
      </c>
      <c r="BA185" t="s">
        <v>74</v>
      </c>
      <c r="BB185">
        <v>20</v>
      </c>
      <c r="BC185">
        <v>37</v>
      </c>
      <c r="BD185" t="s">
        <v>74</v>
      </c>
      <c r="BE185" t="s">
        <v>3318</v>
      </c>
      <c r="BF185" t="str">
        <f>HYPERLINK("http://dx.doi.org/10.1016/j.dsr.2007.10.002","http://dx.doi.org/10.1016/j.dsr.2007.10.002")</f>
        <v>http://dx.doi.org/10.1016/j.dsr.2007.10.002</v>
      </c>
      <c r="BG185" t="s">
        <v>74</v>
      </c>
      <c r="BH185" t="s">
        <v>74</v>
      </c>
      <c r="BI185">
        <v>18</v>
      </c>
      <c r="BJ185" t="s">
        <v>630</v>
      </c>
      <c r="BK185" t="s">
        <v>97</v>
      </c>
      <c r="BL185" t="s">
        <v>630</v>
      </c>
      <c r="BM185" t="s">
        <v>3319</v>
      </c>
      <c r="BN185" t="s">
        <v>74</v>
      </c>
      <c r="BO185" t="s">
        <v>74</v>
      </c>
      <c r="BP185" t="s">
        <v>74</v>
      </c>
      <c r="BQ185" t="s">
        <v>74</v>
      </c>
      <c r="BR185" t="s">
        <v>100</v>
      </c>
      <c r="BS185" t="s">
        <v>3320</v>
      </c>
      <c r="BT185" t="str">
        <f>HYPERLINK("https%3A%2F%2Fwww.webofscience.com%2Fwos%2Fwoscc%2Ffull-record%2FWOS:000253327800002","View Full Record in Web of Science")</f>
        <v>View Full Record in Web of Science</v>
      </c>
    </row>
    <row r="186" spans="1:72" x14ac:dyDescent="0.15">
      <c r="A186" t="s">
        <v>72</v>
      </c>
      <c r="B186" t="s">
        <v>3321</v>
      </c>
      <c r="C186" t="s">
        <v>74</v>
      </c>
      <c r="D186" t="s">
        <v>74</v>
      </c>
      <c r="E186" t="s">
        <v>74</v>
      </c>
      <c r="F186" t="s">
        <v>3322</v>
      </c>
      <c r="G186" t="s">
        <v>74</v>
      </c>
      <c r="H186" t="s">
        <v>74</v>
      </c>
      <c r="I186" t="s">
        <v>3323</v>
      </c>
      <c r="J186" t="s">
        <v>3324</v>
      </c>
      <c r="K186" t="s">
        <v>74</v>
      </c>
      <c r="L186" t="s">
        <v>74</v>
      </c>
      <c r="M186" t="s">
        <v>78</v>
      </c>
      <c r="N186" t="s">
        <v>79</v>
      </c>
      <c r="O186" t="s">
        <v>74</v>
      </c>
      <c r="P186" t="s">
        <v>74</v>
      </c>
      <c r="Q186" t="s">
        <v>74</v>
      </c>
      <c r="R186" t="s">
        <v>74</v>
      </c>
      <c r="S186" t="s">
        <v>74</v>
      </c>
      <c r="T186" t="s">
        <v>3325</v>
      </c>
      <c r="U186" t="s">
        <v>3326</v>
      </c>
      <c r="V186" t="s">
        <v>3327</v>
      </c>
      <c r="W186" t="s">
        <v>3328</v>
      </c>
      <c r="X186" t="s">
        <v>3329</v>
      </c>
      <c r="Y186" t="s">
        <v>3330</v>
      </c>
      <c r="Z186" t="s">
        <v>3331</v>
      </c>
      <c r="AA186" t="s">
        <v>3332</v>
      </c>
      <c r="AB186" t="s">
        <v>3333</v>
      </c>
      <c r="AC186" t="s">
        <v>3334</v>
      </c>
      <c r="AD186" t="s">
        <v>444</v>
      </c>
      <c r="AE186" t="s">
        <v>74</v>
      </c>
      <c r="AF186" t="s">
        <v>74</v>
      </c>
      <c r="AG186">
        <v>34</v>
      </c>
      <c r="AH186">
        <v>13</v>
      </c>
      <c r="AI186">
        <v>13</v>
      </c>
      <c r="AJ186">
        <v>0</v>
      </c>
      <c r="AK186">
        <v>9</v>
      </c>
      <c r="AL186" t="s">
        <v>521</v>
      </c>
      <c r="AM186" t="s">
        <v>522</v>
      </c>
      <c r="AN186" t="s">
        <v>523</v>
      </c>
      <c r="AO186" t="s">
        <v>3335</v>
      </c>
      <c r="AP186" t="s">
        <v>3336</v>
      </c>
      <c r="AQ186" t="s">
        <v>74</v>
      </c>
      <c r="AR186" t="s">
        <v>3337</v>
      </c>
      <c r="AS186" t="s">
        <v>3338</v>
      </c>
      <c r="AT186" t="s">
        <v>74</v>
      </c>
      <c r="AU186">
        <v>2008</v>
      </c>
      <c r="AV186">
        <v>55</v>
      </c>
      <c r="AW186" t="s">
        <v>551</v>
      </c>
      <c r="AX186" t="s">
        <v>74</v>
      </c>
      <c r="AY186" t="s">
        <v>74</v>
      </c>
      <c r="AZ186" t="s">
        <v>74</v>
      </c>
      <c r="BA186" t="s">
        <v>74</v>
      </c>
      <c r="BB186">
        <v>218</v>
      </c>
      <c r="BC186">
        <v>228</v>
      </c>
      <c r="BD186" t="s">
        <v>74</v>
      </c>
      <c r="BE186" t="s">
        <v>3339</v>
      </c>
      <c r="BF186" t="str">
        <f>HYPERLINK("http://dx.doi.org/10.1016/j.dsr2.2007.09.011","http://dx.doi.org/10.1016/j.dsr2.2007.09.011")</f>
        <v>http://dx.doi.org/10.1016/j.dsr2.2007.09.011</v>
      </c>
      <c r="BG186" t="s">
        <v>74</v>
      </c>
      <c r="BH186" t="s">
        <v>74</v>
      </c>
      <c r="BI186">
        <v>11</v>
      </c>
      <c r="BJ186" t="s">
        <v>630</v>
      </c>
      <c r="BK186" t="s">
        <v>97</v>
      </c>
      <c r="BL186" t="s">
        <v>630</v>
      </c>
      <c r="BM186" t="s">
        <v>3340</v>
      </c>
      <c r="BN186" t="s">
        <v>74</v>
      </c>
      <c r="BO186" t="s">
        <v>74</v>
      </c>
      <c r="BP186" t="s">
        <v>74</v>
      </c>
      <c r="BQ186" t="s">
        <v>74</v>
      </c>
      <c r="BR186" t="s">
        <v>100</v>
      </c>
      <c r="BS186" t="s">
        <v>3341</v>
      </c>
      <c r="BT186" t="str">
        <f>HYPERLINK("https%3A%2F%2Fwww.webofscience.com%2Fwos%2Fwoscc%2Ffull-record%2FWOS:000253176800018","View Full Record in Web of Science")</f>
        <v>View Full Record in Web of Science</v>
      </c>
    </row>
    <row r="187" spans="1:72" x14ac:dyDescent="0.15">
      <c r="A187" t="s">
        <v>72</v>
      </c>
      <c r="B187" t="s">
        <v>3342</v>
      </c>
      <c r="C187" t="s">
        <v>74</v>
      </c>
      <c r="D187" t="s">
        <v>74</v>
      </c>
      <c r="E187" t="s">
        <v>74</v>
      </c>
      <c r="F187" t="s">
        <v>3343</v>
      </c>
      <c r="G187" t="s">
        <v>74</v>
      </c>
      <c r="H187" t="s">
        <v>74</v>
      </c>
      <c r="I187" t="s">
        <v>3344</v>
      </c>
      <c r="J187" t="s">
        <v>3324</v>
      </c>
      <c r="K187" t="s">
        <v>74</v>
      </c>
      <c r="L187" t="s">
        <v>74</v>
      </c>
      <c r="M187" t="s">
        <v>78</v>
      </c>
      <c r="N187" t="s">
        <v>438</v>
      </c>
      <c r="O187" t="s">
        <v>74</v>
      </c>
      <c r="P187" t="s">
        <v>74</v>
      </c>
      <c r="Q187" t="s">
        <v>74</v>
      </c>
      <c r="R187" t="s">
        <v>74</v>
      </c>
      <c r="S187" t="s">
        <v>74</v>
      </c>
      <c r="T187" t="s">
        <v>74</v>
      </c>
      <c r="U187" t="s">
        <v>74</v>
      </c>
      <c r="V187" t="s">
        <v>74</v>
      </c>
      <c r="W187" t="s">
        <v>3345</v>
      </c>
      <c r="X187" t="s">
        <v>3346</v>
      </c>
      <c r="Y187" t="s">
        <v>3347</v>
      </c>
      <c r="Z187" t="s">
        <v>3348</v>
      </c>
      <c r="AA187" t="s">
        <v>3349</v>
      </c>
      <c r="AB187" t="s">
        <v>3350</v>
      </c>
      <c r="AC187" t="s">
        <v>74</v>
      </c>
      <c r="AD187" t="s">
        <v>74</v>
      </c>
      <c r="AE187" t="s">
        <v>74</v>
      </c>
      <c r="AF187" t="s">
        <v>74</v>
      </c>
      <c r="AG187">
        <v>3</v>
      </c>
      <c r="AH187">
        <v>11</v>
      </c>
      <c r="AI187">
        <v>13</v>
      </c>
      <c r="AJ187">
        <v>3</v>
      </c>
      <c r="AK187">
        <v>10</v>
      </c>
      <c r="AL187" t="s">
        <v>521</v>
      </c>
      <c r="AM187" t="s">
        <v>522</v>
      </c>
      <c r="AN187" t="s">
        <v>523</v>
      </c>
      <c r="AO187" t="s">
        <v>3335</v>
      </c>
      <c r="AP187" t="s">
        <v>74</v>
      </c>
      <c r="AQ187" t="s">
        <v>74</v>
      </c>
      <c r="AR187" t="s">
        <v>3337</v>
      </c>
      <c r="AS187" t="s">
        <v>3338</v>
      </c>
      <c r="AT187" t="s">
        <v>74</v>
      </c>
      <c r="AU187">
        <v>2008</v>
      </c>
      <c r="AV187">
        <v>55</v>
      </c>
      <c r="AW187" t="s">
        <v>489</v>
      </c>
      <c r="AX187" t="s">
        <v>74</v>
      </c>
      <c r="AY187" t="s">
        <v>74</v>
      </c>
      <c r="AZ187" t="s">
        <v>74</v>
      </c>
      <c r="BA187" t="s">
        <v>74</v>
      </c>
      <c r="BB187">
        <v>269</v>
      </c>
      <c r="BC187">
        <v>270</v>
      </c>
      <c r="BD187" t="s">
        <v>74</v>
      </c>
      <c r="BE187" t="s">
        <v>3351</v>
      </c>
      <c r="BF187" t="str">
        <f>HYPERLINK("http://dx.doi.org/10.1016/j.dsr2.2007.12.001","http://dx.doi.org/10.1016/j.dsr2.2007.12.001")</f>
        <v>http://dx.doi.org/10.1016/j.dsr2.2007.12.001</v>
      </c>
      <c r="BG187" t="s">
        <v>74</v>
      </c>
      <c r="BH187" t="s">
        <v>74</v>
      </c>
      <c r="BI187">
        <v>2</v>
      </c>
      <c r="BJ187" t="s">
        <v>630</v>
      </c>
      <c r="BK187" t="s">
        <v>97</v>
      </c>
      <c r="BL187" t="s">
        <v>630</v>
      </c>
      <c r="BM187" t="s">
        <v>3352</v>
      </c>
      <c r="BN187" t="s">
        <v>74</v>
      </c>
      <c r="BO187" t="s">
        <v>74</v>
      </c>
      <c r="BP187" t="s">
        <v>74</v>
      </c>
      <c r="BQ187" t="s">
        <v>74</v>
      </c>
      <c r="BR187" t="s">
        <v>100</v>
      </c>
      <c r="BS187" t="s">
        <v>3353</v>
      </c>
      <c r="BT187" t="str">
        <f>HYPERLINK("https%3A%2F%2Fwww.webofscience.com%2Fwos%2Fwoscc%2Ffull-record%2FWOS:000255119600001","View Full Record in Web of Science")</f>
        <v>View Full Record in Web of Science</v>
      </c>
    </row>
    <row r="188" spans="1:72" x14ac:dyDescent="0.15">
      <c r="A188" t="s">
        <v>72</v>
      </c>
      <c r="B188" t="s">
        <v>3354</v>
      </c>
      <c r="C188" t="s">
        <v>74</v>
      </c>
      <c r="D188" t="s">
        <v>74</v>
      </c>
      <c r="E188" t="s">
        <v>74</v>
      </c>
      <c r="F188" t="s">
        <v>3355</v>
      </c>
      <c r="G188" t="s">
        <v>74</v>
      </c>
      <c r="H188" t="s">
        <v>74</v>
      </c>
      <c r="I188" t="s">
        <v>3356</v>
      </c>
      <c r="J188" t="s">
        <v>3324</v>
      </c>
      <c r="K188" t="s">
        <v>74</v>
      </c>
      <c r="L188" t="s">
        <v>74</v>
      </c>
      <c r="M188" t="s">
        <v>78</v>
      </c>
      <c r="N188" t="s">
        <v>79</v>
      </c>
      <c r="O188" t="s">
        <v>74</v>
      </c>
      <c r="P188" t="s">
        <v>74</v>
      </c>
      <c r="Q188" t="s">
        <v>74</v>
      </c>
      <c r="R188" t="s">
        <v>74</v>
      </c>
      <c r="S188" t="s">
        <v>74</v>
      </c>
      <c r="T188" t="s">
        <v>3357</v>
      </c>
      <c r="U188" t="s">
        <v>74</v>
      </c>
      <c r="V188" t="s">
        <v>3358</v>
      </c>
      <c r="W188" t="s">
        <v>3359</v>
      </c>
      <c r="X188" t="s">
        <v>3360</v>
      </c>
      <c r="Y188" t="s">
        <v>3361</v>
      </c>
      <c r="Z188" t="s">
        <v>3362</v>
      </c>
      <c r="AA188" t="s">
        <v>74</v>
      </c>
      <c r="AB188" t="s">
        <v>74</v>
      </c>
      <c r="AC188" t="s">
        <v>74</v>
      </c>
      <c r="AD188" t="s">
        <v>74</v>
      </c>
      <c r="AE188" t="s">
        <v>74</v>
      </c>
      <c r="AF188" t="s">
        <v>74</v>
      </c>
      <c r="AG188">
        <v>6</v>
      </c>
      <c r="AH188">
        <v>19</v>
      </c>
      <c r="AI188">
        <v>21</v>
      </c>
      <c r="AJ188">
        <v>0</v>
      </c>
      <c r="AK188">
        <v>7</v>
      </c>
      <c r="AL188" t="s">
        <v>521</v>
      </c>
      <c r="AM188" t="s">
        <v>522</v>
      </c>
      <c r="AN188" t="s">
        <v>523</v>
      </c>
      <c r="AO188" t="s">
        <v>3335</v>
      </c>
      <c r="AP188" t="s">
        <v>74</v>
      </c>
      <c r="AQ188" t="s">
        <v>74</v>
      </c>
      <c r="AR188" t="s">
        <v>3337</v>
      </c>
      <c r="AS188" t="s">
        <v>3338</v>
      </c>
      <c r="AT188" t="s">
        <v>74</v>
      </c>
      <c r="AU188">
        <v>2008</v>
      </c>
      <c r="AV188">
        <v>55</v>
      </c>
      <c r="AW188" t="s">
        <v>489</v>
      </c>
      <c r="AX188" t="s">
        <v>74</v>
      </c>
      <c r="AY188" t="s">
        <v>74</v>
      </c>
      <c r="AZ188" t="s">
        <v>74</v>
      </c>
      <c r="BA188" t="s">
        <v>74</v>
      </c>
      <c r="BB188">
        <v>271</v>
      </c>
      <c r="BC188">
        <v>276</v>
      </c>
      <c r="BD188" t="s">
        <v>74</v>
      </c>
      <c r="BE188" t="s">
        <v>3363</v>
      </c>
      <c r="BF188" t="str">
        <f>HYPERLINK("http://dx.doi.org/10.1016/j.dsr2.2007.10.004","http://dx.doi.org/10.1016/j.dsr2.2007.10.004")</f>
        <v>http://dx.doi.org/10.1016/j.dsr2.2007.10.004</v>
      </c>
      <c r="BG188" t="s">
        <v>74</v>
      </c>
      <c r="BH188" t="s">
        <v>74</v>
      </c>
      <c r="BI188">
        <v>6</v>
      </c>
      <c r="BJ188" t="s">
        <v>630</v>
      </c>
      <c r="BK188" t="s">
        <v>97</v>
      </c>
      <c r="BL188" t="s">
        <v>630</v>
      </c>
      <c r="BM188" t="s">
        <v>3352</v>
      </c>
      <c r="BN188" t="s">
        <v>74</v>
      </c>
      <c r="BO188" t="s">
        <v>74</v>
      </c>
      <c r="BP188" t="s">
        <v>74</v>
      </c>
      <c r="BQ188" t="s">
        <v>74</v>
      </c>
      <c r="BR188" t="s">
        <v>100</v>
      </c>
      <c r="BS188" t="s">
        <v>3364</v>
      </c>
      <c r="BT188" t="str">
        <f>HYPERLINK("https%3A%2F%2Fwww.webofscience.com%2Fwos%2Fwoscc%2Ffull-record%2FWOS:000255119600002","View Full Record in Web of Science")</f>
        <v>View Full Record in Web of Science</v>
      </c>
    </row>
    <row r="189" spans="1:72" x14ac:dyDescent="0.15">
      <c r="A189" t="s">
        <v>72</v>
      </c>
      <c r="B189" t="s">
        <v>3365</v>
      </c>
      <c r="C189" t="s">
        <v>74</v>
      </c>
      <c r="D189" t="s">
        <v>74</v>
      </c>
      <c r="E189" t="s">
        <v>74</v>
      </c>
      <c r="F189" t="s">
        <v>3366</v>
      </c>
      <c r="G189" t="s">
        <v>74</v>
      </c>
      <c r="H189" t="s">
        <v>74</v>
      </c>
      <c r="I189" t="s">
        <v>3367</v>
      </c>
      <c r="J189" t="s">
        <v>3324</v>
      </c>
      <c r="K189" t="s">
        <v>74</v>
      </c>
      <c r="L189" t="s">
        <v>74</v>
      </c>
      <c r="M189" t="s">
        <v>78</v>
      </c>
      <c r="N189" t="s">
        <v>79</v>
      </c>
      <c r="O189" t="s">
        <v>74</v>
      </c>
      <c r="P189" t="s">
        <v>74</v>
      </c>
      <c r="Q189" t="s">
        <v>74</v>
      </c>
      <c r="R189" t="s">
        <v>74</v>
      </c>
      <c r="S189" t="s">
        <v>74</v>
      </c>
      <c r="T189" t="s">
        <v>3368</v>
      </c>
      <c r="U189" t="s">
        <v>3369</v>
      </c>
      <c r="V189" t="s">
        <v>3370</v>
      </c>
      <c r="W189" t="s">
        <v>3371</v>
      </c>
      <c r="X189" t="s">
        <v>3372</v>
      </c>
      <c r="Y189" t="s">
        <v>3373</v>
      </c>
      <c r="Z189" t="s">
        <v>3374</v>
      </c>
      <c r="AA189" t="s">
        <v>3375</v>
      </c>
      <c r="AB189" t="s">
        <v>3376</v>
      </c>
      <c r="AC189" t="s">
        <v>74</v>
      </c>
      <c r="AD189" t="s">
        <v>74</v>
      </c>
      <c r="AE189" t="s">
        <v>74</v>
      </c>
      <c r="AF189" t="s">
        <v>74</v>
      </c>
      <c r="AG189">
        <v>45</v>
      </c>
      <c r="AH189">
        <v>100</v>
      </c>
      <c r="AI189">
        <v>114</v>
      </c>
      <c r="AJ189">
        <v>0</v>
      </c>
      <c r="AK189">
        <v>28</v>
      </c>
      <c r="AL189" t="s">
        <v>521</v>
      </c>
      <c r="AM189" t="s">
        <v>522</v>
      </c>
      <c r="AN189" t="s">
        <v>523</v>
      </c>
      <c r="AO189" t="s">
        <v>3335</v>
      </c>
      <c r="AP189" t="s">
        <v>3336</v>
      </c>
      <c r="AQ189" t="s">
        <v>74</v>
      </c>
      <c r="AR189" t="s">
        <v>3337</v>
      </c>
      <c r="AS189" t="s">
        <v>3338</v>
      </c>
      <c r="AT189" t="s">
        <v>74</v>
      </c>
      <c r="AU189">
        <v>2008</v>
      </c>
      <c r="AV189">
        <v>55</v>
      </c>
      <c r="AW189" t="s">
        <v>489</v>
      </c>
      <c r="AX189" t="s">
        <v>74</v>
      </c>
      <c r="AY189" t="s">
        <v>74</v>
      </c>
      <c r="AZ189" t="s">
        <v>74</v>
      </c>
      <c r="BA189" t="s">
        <v>74</v>
      </c>
      <c r="BB189">
        <v>277</v>
      </c>
      <c r="BC189">
        <v>293</v>
      </c>
      <c r="BD189" t="s">
        <v>74</v>
      </c>
      <c r="BE189" t="s">
        <v>3377</v>
      </c>
      <c r="BF189" t="str">
        <f>HYPERLINK("http://dx.doi.org/10.1016/j.dsr2.2007.10.003","http://dx.doi.org/10.1016/j.dsr2.2007.10.003")</f>
        <v>http://dx.doi.org/10.1016/j.dsr2.2007.10.003</v>
      </c>
      <c r="BG189" t="s">
        <v>74</v>
      </c>
      <c r="BH189" t="s">
        <v>74</v>
      </c>
      <c r="BI189">
        <v>17</v>
      </c>
      <c r="BJ189" t="s">
        <v>630</v>
      </c>
      <c r="BK189" t="s">
        <v>97</v>
      </c>
      <c r="BL189" t="s">
        <v>630</v>
      </c>
      <c r="BM189" t="s">
        <v>3352</v>
      </c>
      <c r="BN189" t="s">
        <v>74</v>
      </c>
      <c r="BO189" t="s">
        <v>74</v>
      </c>
      <c r="BP189" t="s">
        <v>74</v>
      </c>
      <c r="BQ189" t="s">
        <v>74</v>
      </c>
      <c r="BR189" t="s">
        <v>100</v>
      </c>
      <c r="BS189" t="s">
        <v>3378</v>
      </c>
      <c r="BT189" t="str">
        <f>HYPERLINK("https%3A%2F%2Fwww.webofscience.com%2Fwos%2Fwoscc%2Ffull-record%2FWOS:000255119600003","View Full Record in Web of Science")</f>
        <v>View Full Record in Web of Science</v>
      </c>
    </row>
    <row r="190" spans="1:72" x14ac:dyDescent="0.15">
      <c r="A190" t="s">
        <v>72</v>
      </c>
      <c r="B190" t="s">
        <v>3379</v>
      </c>
      <c r="C190" t="s">
        <v>74</v>
      </c>
      <c r="D190" t="s">
        <v>74</v>
      </c>
      <c r="E190" t="s">
        <v>74</v>
      </c>
      <c r="F190" t="s">
        <v>3380</v>
      </c>
      <c r="G190" t="s">
        <v>74</v>
      </c>
      <c r="H190" t="s">
        <v>74</v>
      </c>
      <c r="I190" t="s">
        <v>3381</v>
      </c>
      <c r="J190" t="s">
        <v>3324</v>
      </c>
      <c r="K190" t="s">
        <v>74</v>
      </c>
      <c r="L190" t="s">
        <v>74</v>
      </c>
      <c r="M190" t="s">
        <v>78</v>
      </c>
      <c r="N190" t="s">
        <v>79</v>
      </c>
      <c r="O190" t="s">
        <v>74</v>
      </c>
      <c r="P190" t="s">
        <v>74</v>
      </c>
      <c r="Q190" t="s">
        <v>74</v>
      </c>
      <c r="R190" t="s">
        <v>74</v>
      </c>
      <c r="S190" t="s">
        <v>74</v>
      </c>
      <c r="T190" t="s">
        <v>3382</v>
      </c>
      <c r="U190" t="s">
        <v>3383</v>
      </c>
      <c r="V190" t="s">
        <v>3384</v>
      </c>
      <c r="W190" t="s">
        <v>3385</v>
      </c>
      <c r="X190" t="s">
        <v>3386</v>
      </c>
      <c r="Y190" t="s">
        <v>3387</v>
      </c>
      <c r="Z190" t="s">
        <v>3388</v>
      </c>
      <c r="AA190" t="s">
        <v>74</v>
      </c>
      <c r="AB190" t="s">
        <v>74</v>
      </c>
      <c r="AC190" t="s">
        <v>74</v>
      </c>
      <c r="AD190" t="s">
        <v>74</v>
      </c>
      <c r="AE190" t="s">
        <v>74</v>
      </c>
      <c r="AF190" t="s">
        <v>74</v>
      </c>
      <c r="AG190">
        <v>34</v>
      </c>
      <c r="AH190">
        <v>11</v>
      </c>
      <c r="AI190">
        <v>11</v>
      </c>
      <c r="AJ190">
        <v>0</v>
      </c>
      <c r="AK190">
        <v>7</v>
      </c>
      <c r="AL190" t="s">
        <v>521</v>
      </c>
      <c r="AM190" t="s">
        <v>522</v>
      </c>
      <c r="AN190" t="s">
        <v>523</v>
      </c>
      <c r="AO190" t="s">
        <v>3335</v>
      </c>
      <c r="AP190" t="s">
        <v>3336</v>
      </c>
      <c r="AQ190" t="s">
        <v>74</v>
      </c>
      <c r="AR190" t="s">
        <v>3337</v>
      </c>
      <c r="AS190" t="s">
        <v>3338</v>
      </c>
      <c r="AT190" t="s">
        <v>74</v>
      </c>
      <c r="AU190">
        <v>2008</v>
      </c>
      <c r="AV190">
        <v>55</v>
      </c>
      <c r="AW190" t="s">
        <v>489</v>
      </c>
      <c r="AX190" t="s">
        <v>74</v>
      </c>
      <c r="AY190" t="s">
        <v>74</v>
      </c>
      <c r="AZ190" t="s">
        <v>74</v>
      </c>
      <c r="BA190" t="s">
        <v>74</v>
      </c>
      <c r="BB190">
        <v>294</v>
      </c>
      <c r="BC190">
        <v>308</v>
      </c>
      <c r="BD190" t="s">
        <v>74</v>
      </c>
      <c r="BE190" t="s">
        <v>3389</v>
      </c>
      <c r="BF190" t="str">
        <f>HYPERLINK("http://dx.doi.org/10.1016/j.dsr2.2007.01.014","http://dx.doi.org/10.1016/j.dsr2.2007.01.014")</f>
        <v>http://dx.doi.org/10.1016/j.dsr2.2007.01.014</v>
      </c>
      <c r="BG190" t="s">
        <v>74</v>
      </c>
      <c r="BH190" t="s">
        <v>74</v>
      </c>
      <c r="BI190">
        <v>15</v>
      </c>
      <c r="BJ190" t="s">
        <v>630</v>
      </c>
      <c r="BK190" t="s">
        <v>97</v>
      </c>
      <c r="BL190" t="s">
        <v>630</v>
      </c>
      <c r="BM190" t="s">
        <v>3352</v>
      </c>
      <c r="BN190" t="s">
        <v>74</v>
      </c>
      <c r="BO190" t="s">
        <v>74</v>
      </c>
      <c r="BP190" t="s">
        <v>74</v>
      </c>
      <c r="BQ190" t="s">
        <v>74</v>
      </c>
      <c r="BR190" t="s">
        <v>100</v>
      </c>
      <c r="BS190" t="s">
        <v>3390</v>
      </c>
      <c r="BT190" t="str">
        <f>HYPERLINK("https%3A%2F%2Fwww.webofscience.com%2Fwos%2Fwoscc%2Ffull-record%2FWOS:000255119600004","View Full Record in Web of Science")</f>
        <v>View Full Record in Web of Science</v>
      </c>
    </row>
    <row r="191" spans="1:72" x14ac:dyDescent="0.15">
      <c r="A191" t="s">
        <v>72</v>
      </c>
      <c r="B191" t="s">
        <v>3391</v>
      </c>
      <c r="C191" t="s">
        <v>74</v>
      </c>
      <c r="D191" t="s">
        <v>74</v>
      </c>
      <c r="E191" t="s">
        <v>74</v>
      </c>
      <c r="F191" t="s">
        <v>3392</v>
      </c>
      <c r="G191" t="s">
        <v>74</v>
      </c>
      <c r="H191" t="s">
        <v>74</v>
      </c>
      <c r="I191" t="s">
        <v>3393</v>
      </c>
      <c r="J191" t="s">
        <v>3324</v>
      </c>
      <c r="K191" t="s">
        <v>74</v>
      </c>
      <c r="L191" t="s">
        <v>74</v>
      </c>
      <c r="M191" t="s">
        <v>78</v>
      </c>
      <c r="N191" t="s">
        <v>79</v>
      </c>
      <c r="O191" t="s">
        <v>74</v>
      </c>
      <c r="P191" t="s">
        <v>74</v>
      </c>
      <c r="Q191" t="s">
        <v>74</v>
      </c>
      <c r="R191" t="s">
        <v>74</v>
      </c>
      <c r="S191" t="s">
        <v>74</v>
      </c>
      <c r="T191" t="s">
        <v>3394</v>
      </c>
      <c r="U191" t="s">
        <v>3395</v>
      </c>
      <c r="V191" t="s">
        <v>3396</v>
      </c>
      <c r="W191" t="s">
        <v>3397</v>
      </c>
      <c r="X191" t="s">
        <v>3398</v>
      </c>
      <c r="Y191" t="s">
        <v>3399</v>
      </c>
      <c r="Z191" t="s">
        <v>3400</v>
      </c>
      <c r="AA191" t="s">
        <v>3401</v>
      </c>
      <c r="AB191" t="s">
        <v>3402</v>
      </c>
      <c r="AC191" t="s">
        <v>3403</v>
      </c>
      <c r="AD191" t="s">
        <v>3404</v>
      </c>
      <c r="AE191" t="s">
        <v>74</v>
      </c>
      <c r="AF191" t="s">
        <v>74</v>
      </c>
      <c r="AG191">
        <v>49</v>
      </c>
      <c r="AH191">
        <v>93</v>
      </c>
      <c r="AI191">
        <v>102</v>
      </c>
      <c r="AJ191">
        <v>0</v>
      </c>
      <c r="AK191">
        <v>35</v>
      </c>
      <c r="AL191" t="s">
        <v>521</v>
      </c>
      <c r="AM191" t="s">
        <v>522</v>
      </c>
      <c r="AN191" t="s">
        <v>523</v>
      </c>
      <c r="AO191" t="s">
        <v>3335</v>
      </c>
      <c r="AP191" t="s">
        <v>3336</v>
      </c>
      <c r="AQ191" t="s">
        <v>74</v>
      </c>
      <c r="AR191" t="s">
        <v>3337</v>
      </c>
      <c r="AS191" t="s">
        <v>3338</v>
      </c>
      <c r="AT191" t="s">
        <v>74</v>
      </c>
      <c r="AU191">
        <v>2008</v>
      </c>
      <c r="AV191">
        <v>55</v>
      </c>
      <c r="AW191" t="s">
        <v>489</v>
      </c>
      <c r="AX191" t="s">
        <v>74</v>
      </c>
      <c r="AY191" t="s">
        <v>74</v>
      </c>
      <c r="AZ191" t="s">
        <v>74</v>
      </c>
      <c r="BA191" t="s">
        <v>74</v>
      </c>
      <c r="BB191">
        <v>309</v>
      </c>
      <c r="BC191">
        <v>322</v>
      </c>
      <c r="BD191" t="s">
        <v>74</v>
      </c>
      <c r="BE191" t="s">
        <v>3405</v>
      </c>
      <c r="BF191" t="str">
        <f>HYPERLINK("http://dx.doi.org/10.1016/j.dsr2.2007.11.005","http://dx.doi.org/10.1016/j.dsr2.2007.11.005")</f>
        <v>http://dx.doi.org/10.1016/j.dsr2.2007.11.005</v>
      </c>
      <c r="BG191" t="s">
        <v>74</v>
      </c>
      <c r="BH191" t="s">
        <v>74</v>
      </c>
      <c r="BI191">
        <v>14</v>
      </c>
      <c r="BJ191" t="s">
        <v>630</v>
      </c>
      <c r="BK191" t="s">
        <v>97</v>
      </c>
      <c r="BL191" t="s">
        <v>630</v>
      </c>
      <c r="BM191" t="s">
        <v>3352</v>
      </c>
      <c r="BN191" t="s">
        <v>74</v>
      </c>
      <c r="BO191" t="s">
        <v>250</v>
      </c>
      <c r="BP191" t="s">
        <v>74</v>
      </c>
      <c r="BQ191" t="s">
        <v>74</v>
      </c>
      <c r="BR191" t="s">
        <v>100</v>
      </c>
      <c r="BS191" t="s">
        <v>3406</v>
      </c>
      <c r="BT191" t="str">
        <f>HYPERLINK("https%3A%2F%2Fwww.webofscience.com%2Fwos%2Fwoscc%2Ffull-record%2FWOS:000255119600005","View Full Record in Web of Science")</f>
        <v>View Full Record in Web of Science</v>
      </c>
    </row>
    <row r="192" spans="1:72" x14ac:dyDescent="0.15">
      <c r="A192" t="s">
        <v>72</v>
      </c>
      <c r="B192" t="s">
        <v>3407</v>
      </c>
      <c r="C192" t="s">
        <v>74</v>
      </c>
      <c r="D192" t="s">
        <v>74</v>
      </c>
      <c r="E192" t="s">
        <v>74</v>
      </c>
      <c r="F192" t="s">
        <v>3408</v>
      </c>
      <c r="G192" t="s">
        <v>74</v>
      </c>
      <c r="H192" t="s">
        <v>74</v>
      </c>
      <c r="I192" t="s">
        <v>3409</v>
      </c>
      <c r="J192" t="s">
        <v>3324</v>
      </c>
      <c r="K192" t="s">
        <v>74</v>
      </c>
      <c r="L192" t="s">
        <v>74</v>
      </c>
      <c r="M192" t="s">
        <v>78</v>
      </c>
      <c r="N192" t="s">
        <v>79</v>
      </c>
      <c r="O192" t="s">
        <v>74</v>
      </c>
      <c r="P192" t="s">
        <v>74</v>
      </c>
      <c r="Q192" t="s">
        <v>74</v>
      </c>
      <c r="R192" t="s">
        <v>74</v>
      </c>
      <c r="S192" t="s">
        <v>74</v>
      </c>
      <c r="T192" t="s">
        <v>3410</v>
      </c>
      <c r="U192" t="s">
        <v>3411</v>
      </c>
      <c r="V192" t="s">
        <v>3412</v>
      </c>
      <c r="W192" t="s">
        <v>3413</v>
      </c>
      <c r="X192" t="s">
        <v>3414</v>
      </c>
      <c r="Y192" t="s">
        <v>3415</v>
      </c>
      <c r="Z192" t="s">
        <v>3416</v>
      </c>
      <c r="AA192" t="s">
        <v>3417</v>
      </c>
      <c r="AB192" t="s">
        <v>3418</v>
      </c>
      <c r="AC192" t="s">
        <v>74</v>
      </c>
      <c r="AD192" t="s">
        <v>74</v>
      </c>
      <c r="AE192" t="s">
        <v>74</v>
      </c>
      <c r="AF192" t="s">
        <v>74</v>
      </c>
      <c r="AG192">
        <v>51</v>
      </c>
      <c r="AH192">
        <v>53</v>
      </c>
      <c r="AI192">
        <v>65</v>
      </c>
      <c r="AJ192">
        <v>0</v>
      </c>
      <c r="AK192">
        <v>23</v>
      </c>
      <c r="AL192" t="s">
        <v>521</v>
      </c>
      <c r="AM192" t="s">
        <v>522</v>
      </c>
      <c r="AN192" t="s">
        <v>523</v>
      </c>
      <c r="AO192" t="s">
        <v>3335</v>
      </c>
      <c r="AP192" t="s">
        <v>74</v>
      </c>
      <c r="AQ192" t="s">
        <v>74</v>
      </c>
      <c r="AR192" t="s">
        <v>3337</v>
      </c>
      <c r="AS192" t="s">
        <v>3338</v>
      </c>
      <c r="AT192" t="s">
        <v>74</v>
      </c>
      <c r="AU192">
        <v>2008</v>
      </c>
      <c r="AV192">
        <v>55</v>
      </c>
      <c r="AW192" t="s">
        <v>489</v>
      </c>
      <c r="AX192" t="s">
        <v>74</v>
      </c>
      <c r="AY192" t="s">
        <v>74</v>
      </c>
      <c r="AZ192" t="s">
        <v>74</v>
      </c>
      <c r="BA192" t="s">
        <v>74</v>
      </c>
      <c r="BB192">
        <v>323</v>
      </c>
      <c r="BC192">
        <v>337</v>
      </c>
      <c r="BD192" t="s">
        <v>74</v>
      </c>
      <c r="BE192" t="s">
        <v>3419</v>
      </c>
      <c r="BF192" t="str">
        <f>HYPERLINK("http://dx.doi.org/10.1016/j.dsr2.2007.11.003","http://dx.doi.org/10.1016/j.dsr2.2007.11.003")</f>
        <v>http://dx.doi.org/10.1016/j.dsr2.2007.11.003</v>
      </c>
      <c r="BG192" t="s">
        <v>74</v>
      </c>
      <c r="BH192" t="s">
        <v>74</v>
      </c>
      <c r="BI192">
        <v>15</v>
      </c>
      <c r="BJ192" t="s">
        <v>630</v>
      </c>
      <c r="BK192" t="s">
        <v>97</v>
      </c>
      <c r="BL192" t="s">
        <v>630</v>
      </c>
      <c r="BM192" t="s">
        <v>3352</v>
      </c>
      <c r="BN192" t="s">
        <v>74</v>
      </c>
      <c r="BO192" t="s">
        <v>74</v>
      </c>
      <c r="BP192" t="s">
        <v>74</v>
      </c>
      <c r="BQ192" t="s">
        <v>74</v>
      </c>
      <c r="BR192" t="s">
        <v>100</v>
      </c>
      <c r="BS192" t="s">
        <v>3420</v>
      </c>
      <c r="BT192" t="str">
        <f>HYPERLINK("https%3A%2F%2Fwww.webofscience.com%2Fwos%2Fwoscc%2Ffull-record%2FWOS:000255119600006","View Full Record in Web of Science")</f>
        <v>View Full Record in Web of Science</v>
      </c>
    </row>
    <row r="193" spans="1:72" x14ac:dyDescent="0.15">
      <c r="A193" t="s">
        <v>72</v>
      </c>
      <c r="B193" t="s">
        <v>3421</v>
      </c>
      <c r="C193" t="s">
        <v>74</v>
      </c>
      <c r="D193" t="s">
        <v>74</v>
      </c>
      <c r="E193" t="s">
        <v>74</v>
      </c>
      <c r="F193" t="s">
        <v>3422</v>
      </c>
      <c r="G193" t="s">
        <v>74</v>
      </c>
      <c r="H193" t="s">
        <v>74</v>
      </c>
      <c r="I193" t="s">
        <v>3423</v>
      </c>
      <c r="J193" t="s">
        <v>3324</v>
      </c>
      <c r="K193" t="s">
        <v>74</v>
      </c>
      <c r="L193" t="s">
        <v>74</v>
      </c>
      <c r="M193" t="s">
        <v>78</v>
      </c>
      <c r="N193" t="s">
        <v>79</v>
      </c>
      <c r="O193" t="s">
        <v>74</v>
      </c>
      <c r="P193" t="s">
        <v>74</v>
      </c>
      <c r="Q193" t="s">
        <v>74</v>
      </c>
      <c r="R193" t="s">
        <v>74</v>
      </c>
      <c r="S193" t="s">
        <v>74</v>
      </c>
      <c r="T193" t="s">
        <v>3424</v>
      </c>
      <c r="U193" t="s">
        <v>3425</v>
      </c>
      <c r="V193" t="s">
        <v>3426</v>
      </c>
      <c r="W193" t="s">
        <v>3427</v>
      </c>
      <c r="X193" t="s">
        <v>3428</v>
      </c>
      <c r="Y193" t="s">
        <v>3429</v>
      </c>
      <c r="Z193" t="s">
        <v>3430</v>
      </c>
      <c r="AA193" t="s">
        <v>74</v>
      </c>
      <c r="AB193" t="s">
        <v>74</v>
      </c>
      <c r="AC193" t="s">
        <v>74</v>
      </c>
      <c r="AD193" t="s">
        <v>74</v>
      </c>
      <c r="AE193" t="s">
        <v>74</v>
      </c>
      <c r="AF193" t="s">
        <v>74</v>
      </c>
      <c r="AG193">
        <v>27</v>
      </c>
      <c r="AH193">
        <v>15</v>
      </c>
      <c r="AI193">
        <v>17</v>
      </c>
      <c r="AJ193">
        <v>0</v>
      </c>
      <c r="AK193">
        <v>1</v>
      </c>
      <c r="AL193" t="s">
        <v>521</v>
      </c>
      <c r="AM193" t="s">
        <v>522</v>
      </c>
      <c r="AN193" t="s">
        <v>523</v>
      </c>
      <c r="AO193" t="s">
        <v>3335</v>
      </c>
      <c r="AP193" t="s">
        <v>74</v>
      </c>
      <c r="AQ193" t="s">
        <v>74</v>
      </c>
      <c r="AR193" t="s">
        <v>3337</v>
      </c>
      <c r="AS193" t="s">
        <v>3338</v>
      </c>
      <c r="AT193" t="s">
        <v>74</v>
      </c>
      <c r="AU193">
        <v>2008</v>
      </c>
      <c r="AV193">
        <v>55</v>
      </c>
      <c r="AW193" t="s">
        <v>489</v>
      </c>
      <c r="AX193" t="s">
        <v>74</v>
      </c>
      <c r="AY193" t="s">
        <v>74</v>
      </c>
      <c r="AZ193" t="s">
        <v>74</v>
      </c>
      <c r="BA193" t="s">
        <v>74</v>
      </c>
      <c r="BB193">
        <v>338</v>
      </c>
      <c r="BC193">
        <v>350</v>
      </c>
      <c r="BD193" t="s">
        <v>74</v>
      </c>
      <c r="BE193" t="s">
        <v>3431</v>
      </c>
      <c r="BF193" t="str">
        <f>HYPERLINK("http://dx.doi.org/10.1016/j.dsr2.2007.11.008","http://dx.doi.org/10.1016/j.dsr2.2007.11.008")</f>
        <v>http://dx.doi.org/10.1016/j.dsr2.2007.11.008</v>
      </c>
      <c r="BG193" t="s">
        <v>74</v>
      </c>
      <c r="BH193" t="s">
        <v>74</v>
      </c>
      <c r="BI193">
        <v>13</v>
      </c>
      <c r="BJ193" t="s">
        <v>630</v>
      </c>
      <c r="BK193" t="s">
        <v>97</v>
      </c>
      <c r="BL193" t="s">
        <v>630</v>
      </c>
      <c r="BM193" t="s">
        <v>3352</v>
      </c>
      <c r="BN193" t="s">
        <v>74</v>
      </c>
      <c r="BO193" t="s">
        <v>74</v>
      </c>
      <c r="BP193" t="s">
        <v>74</v>
      </c>
      <c r="BQ193" t="s">
        <v>74</v>
      </c>
      <c r="BR193" t="s">
        <v>100</v>
      </c>
      <c r="BS193" t="s">
        <v>3432</v>
      </c>
      <c r="BT193" t="str">
        <f>HYPERLINK("https%3A%2F%2Fwww.webofscience.com%2Fwos%2Fwoscc%2Ffull-record%2FWOS:000255119600007","View Full Record in Web of Science")</f>
        <v>View Full Record in Web of Science</v>
      </c>
    </row>
    <row r="194" spans="1:72" x14ac:dyDescent="0.15">
      <c r="A194" t="s">
        <v>72</v>
      </c>
      <c r="B194" t="s">
        <v>3433</v>
      </c>
      <c r="C194" t="s">
        <v>74</v>
      </c>
      <c r="D194" t="s">
        <v>74</v>
      </c>
      <c r="E194" t="s">
        <v>74</v>
      </c>
      <c r="F194" t="s">
        <v>3434</v>
      </c>
      <c r="G194" t="s">
        <v>74</v>
      </c>
      <c r="H194" t="s">
        <v>74</v>
      </c>
      <c r="I194" t="s">
        <v>3435</v>
      </c>
      <c r="J194" t="s">
        <v>3324</v>
      </c>
      <c r="K194" t="s">
        <v>74</v>
      </c>
      <c r="L194" t="s">
        <v>74</v>
      </c>
      <c r="M194" t="s">
        <v>78</v>
      </c>
      <c r="N194" t="s">
        <v>79</v>
      </c>
      <c r="O194" t="s">
        <v>74</v>
      </c>
      <c r="P194" t="s">
        <v>74</v>
      </c>
      <c r="Q194" t="s">
        <v>74</v>
      </c>
      <c r="R194" t="s">
        <v>74</v>
      </c>
      <c r="S194" t="s">
        <v>74</v>
      </c>
      <c r="T194" t="s">
        <v>3436</v>
      </c>
      <c r="U194" t="s">
        <v>3437</v>
      </c>
      <c r="V194" t="s">
        <v>3438</v>
      </c>
      <c r="W194" t="s">
        <v>3439</v>
      </c>
      <c r="X194" t="s">
        <v>3440</v>
      </c>
      <c r="Y194" t="s">
        <v>3441</v>
      </c>
      <c r="Z194" t="s">
        <v>3442</v>
      </c>
      <c r="AA194" t="s">
        <v>3443</v>
      </c>
      <c r="AB194" t="s">
        <v>3444</v>
      </c>
      <c r="AC194" t="s">
        <v>74</v>
      </c>
      <c r="AD194" t="s">
        <v>74</v>
      </c>
      <c r="AE194" t="s">
        <v>74</v>
      </c>
      <c r="AF194" t="s">
        <v>74</v>
      </c>
      <c r="AG194">
        <v>22</v>
      </c>
      <c r="AH194">
        <v>16</v>
      </c>
      <c r="AI194">
        <v>19</v>
      </c>
      <c r="AJ194">
        <v>0</v>
      </c>
      <c r="AK194">
        <v>7</v>
      </c>
      <c r="AL194" t="s">
        <v>521</v>
      </c>
      <c r="AM194" t="s">
        <v>522</v>
      </c>
      <c r="AN194" t="s">
        <v>523</v>
      </c>
      <c r="AO194" t="s">
        <v>3335</v>
      </c>
      <c r="AP194" t="s">
        <v>74</v>
      </c>
      <c r="AQ194" t="s">
        <v>74</v>
      </c>
      <c r="AR194" t="s">
        <v>3337</v>
      </c>
      <c r="AS194" t="s">
        <v>3338</v>
      </c>
      <c r="AT194" t="s">
        <v>74</v>
      </c>
      <c r="AU194">
        <v>2008</v>
      </c>
      <c r="AV194">
        <v>55</v>
      </c>
      <c r="AW194" t="s">
        <v>489</v>
      </c>
      <c r="AX194" t="s">
        <v>74</v>
      </c>
      <c r="AY194" t="s">
        <v>74</v>
      </c>
      <c r="AZ194" t="s">
        <v>74</v>
      </c>
      <c r="BA194" t="s">
        <v>74</v>
      </c>
      <c r="BB194">
        <v>351</v>
      </c>
      <c r="BC194">
        <v>364</v>
      </c>
      <c r="BD194" t="s">
        <v>74</v>
      </c>
      <c r="BE194" t="s">
        <v>3445</v>
      </c>
      <c r="BF194" t="str">
        <f>HYPERLINK("http://dx.doi.org/10.1016/j.dsr2.2007.11.004","http://dx.doi.org/10.1016/j.dsr2.2007.11.004")</f>
        <v>http://dx.doi.org/10.1016/j.dsr2.2007.11.004</v>
      </c>
      <c r="BG194" t="s">
        <v>74</v>
      </c>
      <c r="BH194" t="s">
        <v>74</v>
      </c>
      <c r="BI194">
        <v>14</v>
      </c>
      <c r="BJ194" t="s">
        <v>630</v>
      </c>
      <c r="BK194" t="s">
        <v>97</v>
      </c>
      <c r="BL194" t="s">
        <v>630</v>
      </c>
      <c r="BM194" t="s">
        <v>3352</v>
      </c>
      <c r="BN194" t="s">
        <v>74</v>
      </c>
      <c r="BO194" t="s">
        <v>1050</v>
      </c>
      <c r="BP194" t="s">
        <v>74</v>
      </c>
      <c r="BQ194" t="s">
        <v>74</v>
      </c>
      <c r="BR194" t="s">
        <v>100</v>
      </c>
      <c r="BS194" t="s">
        <v>3446</v>
      </c>
      <c r="BT194" t="str">
        <f>HYPERLINK("https%3A%2F%2Fwww.webofscience.com%2Fwos%2Fwoscc%2Ffull-record%2FWOS:000255119600008","View Full Record in Web of Science")</f>
        <v>View Full Record in Web of Science</v>
      </c>
    </row>
    <row r="195" spans="1:72" x14ac:dyDescent="0.15">
      <c r="A195" t="s">
        <v>72</v>
      </c>
      <c r="B195" t="s">
        <v>3447</v>
      </c>
      <c r="C195" t="s">
        <v>74</v>
      </c>
      <c r="D195" t="s">
        <v>74</v>
      </c>
      <c r="E195" t="s">
        <v>74</v>
      </c>
      <c r="F195" t="s">
        <v>3448</v>
      </c>
      <c r="G195" t="s">
        <v>74</v>
      </c>
      <c r="H195" t="s">
        <v>74</v>
      </c>
      <c r="I195" t="s">
        <v>3449</v>
      </c>
      <c r="J195" t="s">
        <v>3324</v>
      </c>
      <c r="K195" t="s">
        <v>74</v>
      </c>
      <c r="L195" t="s">
        <v>74</v>
      </c>
      <c r="M195" t="s">
        <v>78</v>
      </c>
      <c r="N195" t="s">
        <v>79</v>
      </c>
      <c r="O195" t="s">
        <v>74</v>
      </c>
      <c r="P195" t="s">
        <v>74</v>
      </c>
      <c r="Q195" t="s">
        <v>74</v>
      </c>
      <c r="R195" t="s">
        <v>74</v>
      </c>
      <c r="S195" t="s">
        <v>74</v>
      </c>
      <c r="T195" t="s">
        <v>3450</v>
      </c>
      <c r="U195" t="s">
        <v>3451</v>
      </c>
      <c r="V195" t="s">
        <v>3452</v>
      </c>
      <c r="W195" t="s">
        <v>3453</v>
      </c>
      <c r="X195" t="s">
        <v>260</v>
      </c>
      <c r="Y195" t="s">
        <v>3454</v>
      </c>
      <c r="Z195" t="s">
        <v>3455</v>
      </c>
      <c r="AA195" t="s">
        <v>74</v>
      </c>
      <c r="AB195" t="s">
        <v>74</v>
      </c>
      <c r="AC195" t="s">
        <v>74</v>
      </c>
      <c r="AD195" t="s">
        <v>74</v>
      </c>
      <c r="AE195" t="s">
        <v>74</v>
      </c>
      <c r="AF195" t="s">
        <v>74</v>
      </c>
      <c r="AG195">
        <v>24</v>
      </c>
      <c r="AH195">
        <v>17</v>
      </c>
      <c r="AI195">
        <v>20</v>
      </c>
      <c r="AJ195">
        <v>0</v>
      </c>
      <c r="AK195">
        <v>12</v>
      </c>
      <c r="AL195" t="s">
        <v>521</v>
      </c>
      <c r="AM195" t="s">
        <v>522</v>
      </c>
      <c r="AN195" t="s">
        <v>523</v>
      </c>
      <c r="AO195" t="s">
        <v>3335</v>
      </c>
      <c r="AP195" t="s">
        <v>74</v>
      </c>
      <c r="AQ195" t="s">
        <v>74</v>
      </c>
      <c r="AR195" t="s">
        <v>3337</v>
      </c>
      <c r="AS195" t="s">
        <v>3338</v>
      </c>
      <c r="AT195" t="s">
        <v>74</v>
      </c>
      <c r="AU195">
        <v>2008</v>
      </c>
      <c r="AV195">
        <v>55</v>
      </c>
      <c r="AW195" t="s">
        <v>489</v>
      </c>
      <c r="AX195" t="s">
        <v>74</v>
      </c>
      <c r="AY195" t="s">
        <v>74</v>
      </c>
      <c r="AZ195" t="s">
        <v>74</v>
      </c>
      <c r="BA195" t="s">
        <v>74</v>
      </c>
      <c r="BB195">
        <v>365</v>
      </c>
      <c r="BC195">
        <v>376</v>
      </c>
      <c r="BD195" t="s">
        <v>74</v>
      </c>
      <c r="BE195" t="s">
        <v>3456</v>
      </c>
      <c r="BF195" t="str">
        <f>HYPERLINK("http://dx.doi.org/10.1016/j.dsr2.2007.11.007","http://dx.doi.org/10.1016/j.dsr2.2007.11.007")</f>
        <v>http://dx.doi.org/10.1016/j.dsr2.2007.11.007</v>
      </c>
      <c r="BG195" t="s">
        <v>74</v>
      </c>
      <c r="BH195" t="s">
        <v>74</v>
      </c>
      <c r="BI195">
        <v>12</v>
      </c>
      <c r="BJ195" t="s">
        <v>630</v>
      </c>
      <c r="BK195" t="s">
        <v>97</v>
      </c>
      <c r="BL195" t="s">
        <v>630</v>
      </c>
      <c r="BM195" t="s">
        <v>3352</v>
      </c>
      <c r="BN195" t="s">
        <v>74</v>
      </c>
      <c r="BO195" t="s">
        <v>74</v>
      </c>
      <c r="BP195" t="s">
        <v>74</v>
      </c>
      <c r="BQ195" t="s">
        <v>74</v>
      </c>
      <c r="BR195" t="s">
        <v>100</v>
      </c>
      <c r="BS195" t="s">
        <v>3457</v>
      </c>
      <c r="BT195" t="str">
        <f>HYPERLINK("https%3A%2F%2Fwww.webofscience.com%2Fwos%2Fwoscc%2Ffull-record%2FWOS:000255119600009","View Full Record in Web of Science")</f>
        <v>View Full Record in Web of Science</v>
      </c>
    </row>
    <row r="196" spans="1:72" x14ac:dyDescent="0.15">
      <c r="A196" t="s">
        <v>72</v>
      </c>
      <c r="B196" t="s">
        <v>3458</v>
      </c>
      <c r="C196" t="s">
        <v>74</v>
      </c>
      <c r="D196" t="s">
        <v>74</v>
      </c>
      <c r="E196" t="s">
        <v>74</v>
      </c>
      <c r="F196" t="s">
        <v>3459</v>
      </c>
      <c r="G196" t="s">
        <v>74</v>
      </c>
      <c r="H196" t="s">
        <v>74</v>
      </c>
      <c r="I196" t="s">
        <v>3460</v>
      </c>
      <c r="J196" t="s">
        <v>3324</v>
      </c>
      <c r="K196" t="s">
        <v>74</v>
      </c>
      <c r="L196" t="s">
        <v>74</v>
      </c>
      <c r="M196" t="s">
        <v>78</v>
      </c>
      <c r="N196" t="s">
        <v>79</v>
      </c>
      <c r="O196" t="s">
        <v>74</v>
      </c>
      <c r="P196" t="s">
        <v>74</v>
      </c>
      <c r="Q196" t="s">
        <v>74</v>
      </c>
      <c r="R196" t="s">
        <v>74</v>
      </c>
      <c r="S196" t="s">
        <v>74</v>
      </c>
      <c r="T196" t="s">
        <v>3461</v>
      </c>
      <c r="U196" t="s">
        <v>3462</v>
      </c>
      <c r="V196" t="s">
        <v>3463</v>
      </c>
      <c r="W196" t="s">
        <v>3464</v>
      </c>
      <c r="X196" t="s">
        <v>3465</v>
      </c>
      <c r="Y196" t="s">
        <v>3466</v>
      </c>
      <c r="Z196" t="s">
        <v>3467</v>
      </c>
      <c r="AA196" t="s">
        <v>3468</v>
      </c>
      <c r="AB196" t="s">
        <v>74</v>
      </c>
      <c r="AC196" t="s">
        <v>74</v>
      </c>
      <c r="AD196" t="s">
        <v>74</v>
      </c>
      <c r="AE196" t="s">
        <v>74</v>
      </c>
      <c r="AF196" t="s">
        <v>74</v>
      </c>
      <c r="AG196">
        <v>62</v>
      </c>
      <c r="AH196">
        <v>64</v>
      </c>
      <c r="AI196">
        <v>80</v>
      </c>
      <c r="AJ196">
        <v>0</v>
      </c>
      <c r="AK196">
        <v>20</v>
      </c>
      <c r="AL196" t="s">
        <v>521</v>
      </c>
      <c r="AM196" t="s">
        <v>522</v>
      </c>
      <c r="AN196" t="s">
        <v>523</v>
      </c>
      <c r="AO196" t="s">
        <v>3335</v>
      </c>
      <c r="AP196" t="s">
        <v>3336</v>
      </c>
      <c r="AQ196" t="s">
        <v>74</v>
      </c>
      <c r="AR196" t="s">
        <v>3337</v>
      </c>
      <c r="AS196" t="s">
        <v>3338</v>
      </c>
      <c r="AT196" t="s">
        <v>74</v>
      </c>
      <c r="AU196">
        <v>2008</v>
      </c>
      <c r="AV196">
        <v>55</v>
      </c>
      <c r="AW196" t="s">
        <v>489</v>
      </c>
      <c r="AX196" t="s">
        <v>74</v>
      </c>
      <c r="AY196" t="s">
        <v>74</v>
      </c>
      <c r="AZ196" t="s">
        <v>74</v>
      </c>
      <c r="BA196" t="s">
        <v>74</v>
      </c>
      <c r="BB196">
        <v>377</v>
      </c>
      <c r="BC196">
        <v>392</v>
      </c>
      <c r="BD196" t="s">
        <v>74</v>
      </c>
      <c r="BE196" t="s">
        <v>3469</v>
      </c>
      <c r="BF196" t="str">
        <f>HYPERLINK("http://dx.doi.org/10.1016/j.dsr2.2007.11.011","http://dx.doi.org/10.1016/j.dsr2.2007.11.011")</f>
        <v>http://dx.doi.org/10.1016/j.dsr2.2007.11.011</v>
      </c>
      <c r="BG196" t="s">
        <v>74</v>
      </c>
      <c r="BH196" t="s">
        <v>74</v>
      </c>
      <c r="BI196">
        <v>16</v>
      </c>
      <c r="BJ196" t="s">
        <v>630</v>
      </c>
      <c r="BK196" t="s">
        <v>97</v>
      </c>
      <c r="BL196" t="s">
        <v>630</v>
      </c>
      <c r="BM196" t="s">
        <v>3352</v>
      </c>
      <c r="BN196" t="s">
        <v>74</v>
      </c>
      <c r="BO196" t="s">
        <v>74</v>
      </c>
      <c r="BP196" t="s">
        <v>74</v>
      </c>
      <c r="BQ196" t="s">
        <v>74</v>
      </c>
      <c r="BR196" t="s">
        <v>100</v>
      </c>
      <c r="BS196" t="s">
        <v>3470</v>
      </c>
      <c r="BT196" t="str">
        <f>HYPERLINK("https%3A%2F%2Fwww.webofscience.com%2Fwos%2Fwoscc%2Ffull-record%2FWOS:000255119600010","View Full Record in Web of Science")</f>
        <v>View Full Record in Web of Science</v>
      </c>
    </row>
    <row r="197" spans="1:72" x14ac:dyDescent="0.15">
      <c r="A197" t="s">
        <v>72</v>
      </c>
      <c r="B197" t="s">
        <v>3471</v>
      </c>
      <c r="C197" t="s">
        <v>74</v>
      </c>
      <c r="D197" t="s">
        <v>74</v>
      </c>
      <c r="E197" t="s">
        <v>74</v>
      </c>
      <c r="F197" t="s">
        <v>3472</v>
      </c>
      <c r="G197" t="s">
        <v>74</v>
      </c>
      <c r="H197" t="s">
        <v>74</v>
      </c>
      <c r="I197" t="s">
        <v>3473</v>
      </c>
      <c r="J197" t="s">
        <v>3324</v>
      </c>
      <c r="K197" t="s">
        <v>74</v>
      </c>
      <c r="L197" t="s">
        <v>74</v>
      </c>
      <c r="M197" t="s">
        <v>78</v>
      </c>
      <c r="N197" t="s">
        <v>79</v>
      </c>
      <c r="O197" t="s">
        <v>74</v>
      </c>
      <c r="P197" t="s">
        <v>74</v>
      </c>
      <c r="Q197" t="s">
        <v>74</v>
      </c>
      <c r="R197" t="s">
        <v>74</v>
      </c>
      <c r="S197" t="s">
        <v>74</v>
      </c>
      <c r="T197" t="s">
        <v>3474</v>
      </c>
      <c r="U197" t="s">
        <v>3475</v>
      </c>
      <c r="V197" t="s">
        <v>3476</v>
      </c>
      <c r="W197" t="s">
        <v>3477</v>
      </c>
      <c r="X197" t="s">
        <v>3465</v>
      </c>
      <c r="Y197" t="s">
        <v>3478</v>
      </c>
      <c r="Z197" t="s">
        <v>3479</v>
      </c>
      <c r="AA197" t="s">
        <v>3480</v>
      </c>
      <c r="AB197" t="s">
        <v>3481</v>
      </c>
      <c r="AC197" t="s">
        <v>74</v>
      </c>
      <c r="AD197" t="s">
        <v>74</v>
      </c>
      <c r="AE197" t="s">
        <v>74</v>
      </c>
      <c r="AF197" t="s">
        <v>74</v>
      </c>
      <c r="AG197">
        <v>80</v>
      </c>
      <c r="AH197">
        <v>10</v>
      </c>
      <c r="AI197">
        <v>12</v>
      </c>
      <c r="AJ197">
        <v>1</v>
      </c>
      <c r="AK197">
        <v>16</v>
      </c>
      <c r="AL197" t="s">
        <v>521</v>
      </c>
      <c r="AM197" t="s">
        <v>522</v>
      </c>
      <c r="AN197" t="s">
        <v>523</v>
      </c>
      <c r="AO197" t="s">
        <v>3335</v>
      </c>
      <c r="AP197" t="s">
        <v>3336</v>
      </c>
      <c r="AQ197" t="s">
        <v>74</v>
      </c>
      <c r="AR197" t="s">
        <v>3337</v>
      </c>
      <c r="AS197" t="s">
        <v>3338</v>
      </c>
      <c r="AT197" t="s">
        <v>74</v>
      </c>
      <c r="AU197">
        <v>2008</v>
      </c>
      <c r="AV197">
        <v>55</v>
      </c>
      <c r="AW197" t="s">
        <v>489</v>
      </c>
      <c r="AX197" t="s">
        <v>74</v>
      </c>
      <c r="AY197" t="s">
        <v>74</v>
      </c>
      <c r="AZ197" t="s">
        <v>74</v>
      </c>
      <c r="BA197" t="s">
        <v>74</v>
      </c>
      <c r="BB197">
        <v>393</v>
      </c>
      <c r="BC197">
        <v>411</v>
      </c>
      <c r="BD197" t="s">
        <v>74</v>
      </c>
      <c r="BE197" t="s">
        <v>3482</v>
      </c>
      <c r="BF197" t="str">
        <f>HYPERLINK("http://dx.doi.org/10.1016/j.dsr2.2007.11.009","http://dx.doi.org/10.1016/j.dsr2.2007.11.009")</f>
        <v>http://dx.doi.org/10.1016/j.dsr2.2007.11.009</v>
      </c>
      <c r="BG197" t="s">
        <v>74</v>
      </c>
      <c r="BH197" t="s">
        <v>74</v>
      </c>
      <c r="BI197">
        <v>19</v>
      </c>
      <c r="BJ197" t="s">
        <v>630</v>
      </c>
      <c r="BK197" t="s">
        <v>97</v>
      </c>
      <c r="BL197" t="s">
        <v>630</v>
      </c>
      <c r="BM197" t="s">
        <v>3352</v>
      </c>
      <c r="BN197" t="s">
        <v>74</v>
      </c>
      <c r="BO197" t="s">
        <v>74</v>
      </c>
      <c r="BP197" t="s">
        <v>74</v>
      </c>
      <c r="BQ197" t="s">
        <v>74</v>
      </c>
      <c r="BR197" t="s">
        <v>100</v>
      </c>
      <c r="BS197" t="s">
        <v>3483</v>
      </c>
      <c r="BT197" t="str">
        <f>HYPERLINK("https%3A%2F%2Fwww.webofscience.com%2Fwos%2Fwoscc%2Ffull-record%2FWOS:000255119600011","View Full Record in Web of Science")</f>
        <v>View Full Record in Web of Science</v>
      </c>
    </row>
    <row r="198" spans="1:72" x14ac:dyDescent="0.15">
      <c r="A198" t="s">
        <v>72</v>
      </c>
      <c r="B198" t="s">
        <v>3484</v>
      </c>
      <c r="C198" t="s">
        <v>74</v>
      </c>
      <c r="D198" t="s">
        <v>74</v>
      </c>
      <c r="E198" t="s">
        <v>74</v>
      </c>
      <c r="F198" t="s">
        <v>3485</v>
      </c>
      <c r="G198" t="s">
        <v>74</v>
      </c>
      <c r="H198" t="s">
        <v>74</v>
      </c>
      <c r="I198" t="s">
        <v>3486</v>
      </c>
      <c r="J198" t="s">
        <v>3324</v>
      </c>
      <c r="K198" t="s">
        <v>74</v>
      </c>
      <c r="L198" t="s">
        <v>74</v>
      </c>
      <c r="M198" t="s">
        <v>78</v>
      </c>
      <c r="N198" t="s">
        <v>79</v>
      </c>
      <c r="O198" t="s">
        <v>74</v>
      </c>
      <c r="P198" t="s">
        <v>74</v>
      </c>
      <c r="Q198" t="s">
        <v>74</v>
      </c>
      <c r="R198" t="s">
        <v>74</v>
      </c>
      <c r="S198" t="s">
        <v>74</v>
      </c>
      <c r="T198" t="s">
        <v>3487</v>
      </c>
      <c r="U198" t="s">
        <v>3488</v>
      </c>
      <c r="V198" t="s">
        <v>3489</v>
      </c>
      <c r="W198" t="s">
        <v>3490</v>
      </c>
      <c r="X198" t="s">
        <v>3491</v>
      </c>
      <c r="Y198" t="s">
        <v>3492</v>
      </c>
      <c r="Z198" t="s">
        <v>3493</v>
      </c>
      <c r="AA198" t="s">
        <v>74</v>
      </c>
      <c r="AB198" t="s">
        <v>3494</v>
      </c>
      <c r="AC198" t="s">
        <v>74</v>
      </c>
      <c r="AD198" t="s">
        <v>74</v>
      </c>
      <c r="AE198" t="s">
        <v>74</v>
      </c>
      <c r="AF198" t="s">
        <v>74</v>
      </c>
      <c r="AG198">
        <v>66</v>
      </c>
      <c r="AH198">
        <v>71</v>
      </c>
      <c r="AI198">
        <v>78</v>
      </c>
      <c r="AJ198">
        <v>0</v>
      </c>
      <c r="AK198">
        <v>22</v>
      </c>
      <c r="AL198" t="s">
        <v>521</v>
      </c>
      <c r="AM198" t="s">
        <v>522</v>
      </c>
      <c r="AN198" t="s">
        <v>523</v>
      </c>
      <c r="AO198" t="s">
        <v>3335</v>
      </c>
      <c r="AP198" t="s">
        <v>3336</v>
      </c>
      <c r="AQ198" t="s">
        <v>74</v>
      </c>
      <c r="AR198" t="s">
        <v>3337</v>
      </c>
      <c r="AS198" t="s">
        <v>3338</v>
      </c>
      <c r="AT198" t="s">
        <v>74</v>
      </c>
      <c r="AU198">
        <v>2008</v>
      </c>
      <c r="AV198">
        <v>55</v>
      </c>
      <c r="AW198" t="s">
        <v>489</v>
      </c>
      <c r="AX198" t="s">
        <v>74</v>
      </c>
      <c r="AY198" t="s">
        <v>74</v>
      </c>
      <c r="AZ198" t="s">
        <v>74</v>
      </c>
      <c r="BA198" t="s">
        <v>74</v>
      </c>
      <c r="BB198">
        <v>412</v>
      </c>
      <c r="BC198">
        <v>431</v>
      </c>
      <c r="BD198" t="s">
        <v>74</v>
      </c>
      <c r="BE198" t="s">
        <v>3495</v>
      </c>
      <c r="BF198" t="str">
        <f>HYPERLINK("http://dx.doi.org/10.1016/j.dsr2.2007.11.010","http://dx.doi.org/10.1016/j.dsr2.2007.11.010")</f>
        <v>http://dx.doi.org/10.1016/j.dsr2.2007.11.010</v>
      </c>
      <c r="BG198" t="s">
        <v>74</v>
      </c>
      <c r="BH198" t="s">
        <v>74</v>
      </c>
      <c r="BI198">
        <v>20</v>
      </c>
      <c r="BJ198" t="s">
        <v>630</v>
      </c>
      <c r="BK198" t="s">
        <v>97</v>
      </c>
      <c r="BL198" t="s">
        <v>630</v>
      </c>
      <c r="BM198" t="s">
        <v>3352</v>
      </c>
      <c r="BN198" t="s">
        <v>74</v>
      </c>
      <c r="BO198" t="s">
        <v>74</v>
      </c>
      <c r="BP198" t="s">
        <v>74</v>
      </c>
      <c r="BQ198" t="s">
        <v>74</v>
      </c>
      <c r="BR198" t="s">
        <v>100</v>
      </c>
      <c r="BS198" t="s">
        <v>3496</v>
      </c>
      <c r="BT198" t="str">
        <f>HYPERLINK("https%3A%2F%2Fwww.webofscience.com%2Fwos%2Fwoscc%2Ffull-record%2FWOS:000255119600012","View Full Record in Web of Science")</f>
        <v>View Full Record in Web of Science</v>
      </c>
    </row>
    <row r="199" spans="1:72" x14ac:dyDescent="0.15">
      <c r="A199" t="s">
        <v>72</v>
      </c>
      <c r="B199" t="s">
        <v>3497</v>
      </c>
      <c r="C199" t="s">
        <v>74</v>
      </c>
      <c r="D199" t="s">
        <v>74</v>
      </c>
      <c r="E199" t="s">
        <v>74</v>
      </c>
      <c r="F199" t="s">
        <v>3498</v>
      </c>
      <c r="G199" t="s">
        <v>74</v>
      </c>
      <c r="H199" t="s">
        <v>74</v>
      </c>
      <c r="I199" t="s">
        <v>3499</v>
      </c>
      <c r="J199" t="s">
        <v>3324</v>
      </c>
      <c r="K199" t="s">
        <v>74</v>
      </c>
      <c r="L199" t="s">
        <v>74</v>
      </c>
      <c r="M199" t="s">
        <v>78</v>
      </c>
      <c r="N199" t="s">
        <v>79</v>
      </c>
      <c r="O199" t="s">
        <v>74</v>
      </c>
      <c r="P199" t="s">
        <v>74</v>
      </c>
      <c r="Q199" t="s">
        <v>74</v>
      </c>
      <c r="R199" t="s">
        <v>74</v>
      </c>
      <c r="S199" t="s">
        <v>74</v>
      </c>
      <c r="T199" t="s">
        <v>3500</v>
      </c>
      <c r="U199" t="s">
        <v>3501</v>
      </c>
      <c r="V199" t="s">
        <v>3502</v>
      </c>
      <c r="W199" t="s">
        <v>3490</v>
      </c>
      <c r="X199" t="s">
        <v>3491</v>
      </c>
      <c r="Y199" t="s">
        <v>3503</v>
      </c>
      <c r="Z199" t="s">
        <v>3493</v>
      </c>
      <c r="AA199" t="s">
        <v>74</v>
      </c>
      <c r="AB199" t="s">
        <v>3494</v>
      </c>
      <c r="AC199" t="s">
        <v>74</v>
      </c>
      <c r="AD199" t="s">
        <v>74</v>
      </c>
      <c r="AE199" t="s">
        <v>74</v>
      </c>
      <c r="AF199" t="s">
        <v>74</v>
      </c>
      <c r="AG199">
        <v>61</v>
      </c>
      <c r="AH199">
        <v>70</v>
      </c>
      <c r="AI199">
        <v>88</v>
      </c>
      <c r="AJ199">
        <v>0</v>
      </c>
      <c r="AK199">
        <v>21</v>
      </c>
      <c r="AL199" t="s">
        <v>521</v>
      </c>
      <c r="AM199" t="s">
        <v>522</v>
      </c>
      <c r="AN199" t="s">
        <v>523</v>
      </c>
      <c r="AO199" t="s">
        <v>3335</v>
      </c>
      <c r="AP199" t="s">
        <v>74</v>
      </c>
      <c r="AQ199" t="s">
        <v>74</v>
      </c>
      <c r="AR199" t="s">
        <v>3337</v>
      </c>
      <c r="AS199" t="s">
        <v>3338</v>
      </c>
      <c r="AT199" t="s">
        <v>74</v>
      </c>
      <c r="AU199">
        <v>2008</v>
      </c>
      <c r="AV199">
        <v>55</v>
      </c>
      <c r="AW199" t="s">
        <v>489</v>
      </c>
      <c r="AX199" t="s">
        <v>74</v>
      </c>
      <c r="AY199" t="s">
        <v>74</v>
      </c>
      <c r="AZ199" t="s">
        <v>74</v>
      </c>
      <c r="BA199" t="s">
        <v>74</v>
      </c>
      <c r="BB199">
        <v>432</v>
      </c>
      <c r="BC199">
        <v>454</v>
      </c>
      <c r="BD199" t="s">
        <v>74</v>
      </c>
      <c r="BE199" t="s">
        <v>3504</v>
      </c>
      <c r="BF199" t="str">
        <f>HYPERLINK("http://dx.doi.org/10.1016/j.dsr2.2007.11.014","http://dx.doi.org/10.1016/j.dsr2.2007.11.014")</f>
        <v>http://dx.doi.org/10.1016/j.dsr2.2007.11.014</v>
      </c>
      <c r="BG199" t="s">
        <v>74</v>
      </c>
      <c r="BH199" t="s">
        <v>74</v>
      </c>
      <c r="BI199">
        <v>23</v>
      </c>
      <c r="BJ199" t="s">
        <v>630</v>
      </c>
      <c r="BK199" t="s">
        <v>97</v>
      </c>
      <c r="BL199" t="s">
        <v>630</v>
      </c>
      <c r="BM199" t="s">
        <v>3352</v>
      </c>
      <c r="BN199" t="s">
        <v>74</v>
      </c>
      <c r="BO199" t="s">
        <v>74</v>
      </c>
      <c r="BP199" t="s">
        <v>74</v>
      </c>
      <c r="BQ199" t="s">
        <v>74</v>
      </c>
      <c r="BR199" t="s">
        <v>100</v>
      </c>
      <c r="BS199" t="s">
        <v>3505</v>
      </c>
      <c r="BT199" t="str">
        <f>HYPERLINK("https%3A%2F%2Fwww.webofscience.com%2Fwos%2Fwoscc%2Ffull-record%2FWOS:000255119600013","View Full Record in Web of Science")</f>
        <v>View Full Record in Web of Science</v>
      </c>
    </row>
    <row r="200" spans="1:72" x14ac:dyDescent="0.15">
      <c r="A200" t="s">
        <v>72</v>
      </c>
      <c r="B200" t="s">
        <v>3506</v>
      </c>
      <c r="C200" t="s">
        <v>74</v>
      </c>
      <c r="D200" t="s">
        <v>74</v>
      </c>
      <c r="E200" t="s">
        <v>74</v>
      </c>
      <c r="F200" t="s">
        <v>3507</v>
      </c>
      <c r="G200" t="s">
        <v>74</v>
      </c>
      <c r="H200" t="s">
        <v>74</v>
      </c>
      <c r="I200" t="s">
        <v>3508</v>
      </c>
      <c r="J200" t="s">
        <v>3324</v>
      </c>
      <c r="K200" t="s">
        <v>74</v>
      </c>
      <c r="L200" t="s">
        <v>74</v>
      </c>
      <c r="M200" t="s">
        <v>78</v>
      </c>
      <c r="N200" t="s">
        <v>79</v>
      </c>
      <c r="O200" t="s">
        <v>74</v>
      </c>
      <c r="P200" t="s">
        <v>74</v>
      </c>
      <c r="Q200" t="s">
        <v>74</v>
      </c>
      <c r="R200" t="s">
        <v>74</v>
      </c>
      <c r="S200" t="s">
        <v>74</v>
      </c>
      <c r="T200" t="s">
        <v>3509</v>
      </c>
      <c r="U200" t="s">
        <v>3510</v>
      </c>
      <c r="V200" t="s">
        <v>3511</v>
      </c>
      <c r="W200" t="s">
        <v>3512</v>
      </c>
      <c r="X200" t="s">
        <v>3360</v>
      </c>
      <c r="Y200" t="s">
        <v>3513</v>
      </c>
      <c r="Z200" t="s">
        <v>3514</v>
      </c>
      <c r="AA200" t="s">
        <v>74</v>
      </c>
      <c r="AB200" t="s">
        <v>3494</v>
      </c>
      <c r="AC200" t="s">
        <v>74</v>
      </c>
      <c r="AD200" t="s">
        <v>74</v>
      </c>
      <c r="AE200" t="s">
        <v>74</v>
      </c>
      <c r="AF200" t="s">
        <v>74</v>
      </c>
      <c r="AG200">
        <v>67</v>
      </c>
      <c r="AH200">
        <v>30</v>
      </c>
      <c r="AI200">
        <v>43</v>
      </c>
      <c r="AJ200">
        <v>0</v>
      </c>
      <c r="AK200">
        <v>25</v>
      </c>
      <c r="AL200" t="s">
        <v>521</v>
      </c>
      <c r="AM200" t="s">
        <v>522</v>
      </c>
      <c r="AN200" t="s">
        <v>523</v>
      </c>
      <c r="AO200" t="s">
        <v>3335</v>
      </c>
      <c r="AP200" t="s">
        <v>3336</v>
      </c>
      <c r="AQ200" t="s">
        <v>74</v>
      </c>
      <c r="AR200" t="s">
        <v>3337</v>
      </c>
      <c r="AS200" t="s">
        <v>3338</v>
      </c>
      <c r="AT200" t="s">
        <v>74</v>
      </c>
      <c r="AU200">
        <v>2008</v>
      </c>
      <c r="AV200">
        <v>55</v>
      </c>
      <c r="AW200" t="s">
        <v>489</v>
      </c>
      <c r="AX200" t="s">
        <v>74</v>
      </c>
      <c r="AY200" t="s">
        <v>74</v>
      </c>
      <c r="AZ200" t="s">
        <v>74</v>
      </c>
      <c r="BA200" t="s">
        <v>74</v>
      </c>
      <c r="BB200">
        <v>455</v>
      </c>
      <c r="BC200">
        <v>471</v>
      </c>
      <c r="BD200" t="s">
        <v>74</v>
      </c>
      <c r="BE200" t="s">
        <v>3515</v>
      </c>
      <c r="BF200" t="str">
        <f>HYPERLINK("http://dx.doi.org/10.1016/j.dsr2.2007.11.016","http://dx.doi.org/10.1016/j.dsr2.2007.11.016")</f>
        <v>http://dx.doi.org/10.1016/j.dsr2.2007.11.016</v>
      </c>
      <c r="BG200" t="s">
        <v>74</v>
      </c>
      <c r="BH200" t="s">
        <v>74</v>
      </c>
      <c r="BI200">
        <v>17</v>
      </c>
      <c r="BJ200" t="s">
        <v>630</v>
      </c>
      <c r="BK200" t="s">
        <v>97</v>
      </c>
      <c r="BL200" t="s">
        <v>630</v>
      </c>
      <c r="BM200" t="s">
        <v>3352</v>
      </c>
      <c r="BN200" t="s">
        <v>74</v>
      </c>
      <c r="BO200" t="s">
        <v>74</v>
      </c>
      <c r="BP200" t="s">
        <v>74</v>
      </c>
      <c r="BQ200" t="s">
        <v>74</v>
      </c>
      <c r="BR200" t="s">
        <v>100</v>
      </c>
      <c r="BS200" t="s">
        <v>3516</v>
      </c>
      <c r="BT200" t="str">
        <f>HYPERLINK("https%3A%2F%2Fwww.webofscience.com%2Fwos%2Fwoscc%2Ffull-record%2FWOS:000255119600014","View Full Record in Web of Science")</f>
        <v>View Full Record in Web of Science</v>
      </c>
    </row>
    <row r="201" spans="1:72" x14ac:dyDescent="0.15">
      <c r="A201" t="s">
        <v>72</v>
      </c>
      <c r="B201" t="s">
        <v>3517</v>
      </c>
      <c r="C201" t="s">
        <v>74</v>
      </c>
      <c r="D201" t="s">
        <v>74</v>
      </c>
      <c r="E201" t="s">
        <v>74</v>
      </c>
      <c r="F201" t="s">
        <v>3518</v>
      </c>
      <c r="G201" t="s">
        <v>74</v>
      </c>
      <c r="H201" t="s">
        <v>74</v>
      </c>
      <c r="I201" t="s">
        <v>3519</v>
      </c>
      <c r="J201" t="s">
        <v>3324</v>
      </c>
      <c r="K201" t="s">
        <v>74</v>
      </c>
      <c r="L201" t="s">
        <v>74</v>
      </c>
      <c r="M201" t="s">
        <v>78</v>
      </c>
      <c r="N201" t="s">
        <v>79</v>
      </c>
      <c r="O201" t="s">
        <v>74</v>
      </c>
      <c r="P201" t="s">
        <v>74</v>
      </c>
      <c r="Q201" t="s">
        <v>74</v>
      </c>
      <c r="R201" t="s">
        <v>74</v>
      </c>
      <c r="S201" t="s">
        <v>74</v>
      </c>
      <c r="T201" t="s">
        <v>3520</v>
      </c>
      <c r="U201" t="s">
        <v>3521</v>
      </c>
      <c r="V201" t="s">
        <v>3522</v>
      </c>
      <c r="W201" t="s">
        <v>3523</v>
      </c>
      <c r="X201" t="s">
        <v>3524</v>
      </c>
      <c r="Y201" t="s">
        <v>3525</v>
      </c>
      <c r="Z201" t="s">
        <v>3526</v>
      </c>
      <c r="AA201" t="s">
        <v>3527</v>
      </c>
      <c r="AB201" t="s">
        <v>3528</v>
      </c>
      <c r="AC201" t="s">
        <v>74</v>
      </c>
      <c r="AD201" t="s">
        <v>74</v>
      </c>
      <c r="AE201" t="s">
        <v>74</v>
      </c>
      <c r="AF201" t="s">
        <v>74</v>
      </c>
      <c r="AG201">
        <v>33</v>
      </c>
      <c r="AH201">
        <v>6</v>
      </c>
      <c r="AI201">
        <v>6</v>
      </c>
      <c r="AJ201">
        <v>0</v>
      </c>
      <c r="AK201">
        <v>12</v>
      </c>
      <c r="AL201" t="s">
        <v>521</v>
      </c>
      <c r="AM201" t="s">
        <v>522</v>
      </c>
      <c r="AN201" t="s">
        <v>523</v>
      </c>
      <c r="AO201" t="s">
        <v>3335</v>
      </c>
      <c r="AP201" t="s">
        <v>74</v>
      </c>
      <c r="AQ201" t="s">
        <v>74</v>
      </c>
      <c r="AR201" t="s">
        <v>3337</v>
      </c>
      <c r="AS201" t="s">
        <v>3338</v>
      </c>
      <c r="AT201" t="s">
        <v>74</v>
      </c>
      <c r="AU201">
        <v>2008</v>
      </c>
      <c r="AV201">
        <v>55</v>
      </c>
      <c r="AW201" t="s">
        <v>489</v>
      </c>
      <c r="AX201" t="s">
        <v>74</v>
      </c>
      <c r="AY201" t="s">
        <v>74</v>
      </c>
      <c r="AZ201" t="s">
        <v>74</v>
      </c>
      <c r="BA201" t="s">
        <v>74</v>
      </c>
      <c r="BB201">
        <v>472</v>
      </c>
      <c r="BC201">
        <v>484</v>
      </c>
      <c r="BD201" t="s">
        <v>74</v>
      </c>
      <c r="BE201" t="s">
        <v>3529</v>
      </c>
      <c r="BF201" t="str">
        <f>HYPERLINK("http://dx.doi.org/10.1016/j.dsr2.2007.11.001","http://dx.doi.org/10.1016/j.dsr2.2007.11.001")</f>
        <v>http://dx.doi.org/10.1016/j.dsr2.2007.11.001</v>
      </c>
      <c r="BG201" t="s">
        <v>74</v>
      </c>
      <c r="BH201" t="s">
        <v>74</v>
      </c>
      <c r="BI201">
        <v>13</v>
      </c>
      <c r="BJ201" t="s">
        <v>630</v>
      </c>
      <c r="BK201" t="s">
        <v>97</v>
      </c>
      <c r="BL201" t="s">
        <v>630</v>
      </c>
      <c r="BM201" t="s">
        <v>3352</v>
      </c>
      <c r="BN201" t="s">
        <v>74</v>
      </c>
      <c r="BO201" t="s">
        <v>74</v>
      </c>
      <c r="BP201" t="s">
        <v>74</v>
      </c>
      <c r="BQ201" t="s">
        <v>74</v>
      </c>
      <c r="BR201" t="s">
        <v>100</v>
      </c>
      <c r="BS201" t="s">
        <v>3530</v>
      </c>
      <c r="BT201" t="str">
        <f>HYPERLINK("https%3A%2F%2Fwww.webofscience.com%2Fwos%2Fwoscc%2Ffull-record%2FWOS:000255119600015","View Full Record in Web of Science")</f>
        <v>View Full Record in Web of Science</v>
      </c>
    </row>
    <row r="202" spans="1:72" x14ac:dyDescent="0.15">
      <c r="A202" t="s">
        <v>72</v>
      </c>
      <c r="B202" t="s">
        <v>3531</v>
      </c>
      <c r="C202" t="s">
        <v>74</v>
      </c>
      <c r="D202" t="s">
        <v>74</v>
      </c>
      <c r="E202" t="s">
        <v>74</v>
      </c>
      <c r="F202" t="s">
        <v>3532</v>
      </c>
      <c r="G202" t="s">
        <v>74</v>
      </c>
      <c r="H202" t="s">
        <v>74</v>
      </c>
      <c r="I202" t="s">
        <v>3533</v>
      </c>
      <c r="J202" t="s">
        <v>3324</v>
      </c>
      <c r="K202" t="s">
        <v>74</v>
      </c>
      <c r="L202" t="s">
        <v>74</v>
      </c>
      <c r="M202" t="s">
        <v>78</v>
      </c>
      <c r="N202" t="s">
        <v>79</v>
      </c>
      <c r="O202" t="s">
        <v>74</v>
      </c>
      <c r="P202" t="s">
        <v>74</v>
      </c>
      <c r="Q202" t="s">
        <v>74</v>
      </c>
      <c r="R202" t="s">
        <v>74</v>
      </c>
      <c r="S202" t="s">
        <v>74</v>
      </c>
      <c r="T202" t="s">
        <v>3534</v>
      </c>
      <c r="U202" t="s">
        <v>3535</v>
      </c>
      <c r="V202" t="s">
        <v>3536</v>
      </c>
      <c r="W202" t="s">
        <v>3537</v>
      </c>
      <c r="X202" t="s">
        <v>3538</v>
      </c>
      <c r="Y202" t="s">
        <v>3539</v>
      </c>
      <c r="Z202" t="s">
        <v>3540</v>
      </c>
      <c r="AA202" t="s">
        <v>74</v>
      </c>
      <c r="AB202" t="s">
        <v>3494</v>
      </c>
      <c r="AC202" t="s">
        <v>3541</v>
      </c>
      <c r="AD202" t="s">
        <v>3542</v>
      </c>
      <c r="AE202" t="s">
        <v>74</v>
      </c>
      <c r="AF202" t="s">
        <v>74</v>
      </c>
      <c r="AG202">
        <v>73</v>
      </c>
      <c r="AH202">
        <v>40</v>
      </c>
      <c r="AI202">
        <v>45</v>
      </c>
      <c r="AJ202">
        <v>0</v>
      </c>
      <c r="AK202">
        <v>25</v>
      </c>
      <c r="AL202" t="s">
        <v>521</v>
      </c>
      <c r="AM202" t="s">
        <v>522</v>
      </c>
      <c r="AN202" t="s">
        <v>523</v>
      </c>
      <c r="AO202" t="s">
        <v>3335</v>
      </c>
      <c r="AP202" t="s">
        <v>3336</v>
      </c>
      <c r="AQ202" t="s">
        <v>74</v>
      </c>
      <c r="AR202" t="s">
        <v>3337</v>
      </c>
      <c r="AS202" t="s">
        <v>3338</v>
      </c>
      <c r="AT202" t="s">
        <v>74</v>
      </c>
      <c r="AU202">
        <v>2008</v>
      </c>
      <c r="AV202">
        <v>55</v>
      </c>
      <c r="AW202" t="s">
        <v>489</v>
      </c>
      <c r="AX202" t="s">
        <v>74</v>
      </c>
      <c r="AY202" t="s">
        <v>74</v>
      </c>
      <c r="AZ202" t="s">
        <v>74</v>
      </c>
      <c r="BA202" t="s">
        <v>74</v>
      </c>
      <c r="BB202">
        <v>485</v>
      </c>
      <c r="BC202">
        <v>499</v>
      </c>
      <c r="BD202" t="s">
        <v>74</v>
      </c>
      <c r="BE202" t="s">
        <v>3543</v>
      </c>
      <c r="BF202" t="str">
        <f>HYPERLINK("http://dx.doi.org/10.1016/j.dsr2.2007.11.006","http://dx.doi.org/10.1016/j.dsr2.2007.11.006")</f>
        <v>http://dx.doi.org/10.1016/j.dsr2.2007.11.006</v>
      </c>
      <c r="BG202" t="s">
        <v>74</v>
      </c>
      <c r="BH202" t="s">
        <v>74</v>
      </c>
      <c r="BI202">
        <v>15</v>
      </c>
      <c r="BJ202" t="s">
        <v>630</v>
      </c>
      <c r="BK202" t="s">
        <v>97</v>
      </c>
      <c r="BL202" t="s">
        <v>630</v>
      </c>
      <c r="BM202" t="s">
        <v>3352</v>
      </c>
      <c r="BN202" t="s">
        <v>74</v>
      </c>
      <c r="BO202" t="s">
        <v>1050</v>
      </c>
      <c r="BP202" t="s">
        <v>74</v>
      </c>
      <c r="BQ202" t="s">
        <v>74</v>
      </c>
      <c r="BR202" t="s">
        <v>100</v>
      </c>
      <c r="BS202" t="s">
        <v>3544</v>
      </c>
      <c r="BT202" t="str">
        <f>HYPERLINK("https%3A%2F%2Fwww.webofscience.com%2Fwos%2Fwoscc%2Ffull-record%2FWOS:000255119600016","View Full Record in Web of Science")</f>
        <v>View Full Record in Web of Science</v>
      </c>
    </row>
    <row r="203" spans="1:72" x14ac:dyDescent="0.15">
      <c r="A203" t="s">
        <v>72</v>
      </c>
      <c r="B203" t="s">
        <v>3545</v>
      </c>
      <c r="C203" t="s">
        <v>74</v>
      </c>
      <c r="D203" t="s">
        <v>74</v>
      </c>
      <c r="E203" t="s">
        <v>74</v>
      </c>
      <c r="F203" t="s">
        <v>3546</v>
      </c>
      <c r="G203" t="s">
        <v>74</v>
      </c>
      <c r="H203" t="s">
        <v>74</v>
      </c>
      <c r="I203" t="s">
        <v>3547</v>
      </c>
      <c r="J203" t="s">
        <v>3324</v>
      </c>
      <c r="K203" t="s">
        <v>74</v>
      </c>
      <c r="L203" t="s">
        <v>74</v>
      </c>
      <c r="M203" t="s">
        <v>78</v>
      </c>
      <c r="N203" t="s">
        <v>79</v>
      </c>
      <c r="O203" t="s">
        <v>74</v>
      </c>
      <c r="P203" t="s">
        <v>74</v>
      </c>
      <c r="Q203" t="s">
        <v>74</v>
      </c>
      <c r="R203" t="s">
        <v>74</v>
      </c>
      <c r="S203" t="s">
        <v>74</v>
      </c>
      <c r="T203" t="s">
        <v>3548</v>
      </c>
      <c r="U203" t="s">
        <v>3549</v>
      </c>
      <c r="V203" t="s">
        <v>3550</v>
      </c>
      <c r="W203" t="s">
        <v>3551</v>
      </c>
      <c r="X203" t="s">
        <v>3552</v>
      </c>
      <c r="Y203" t="s">
        <v>3553</v>
      </c>
      <c r="Z203" t="s">
        <v>3554</v>
      </c>
      <c r="AA203" t="s">
        <v>3555</v>
      </c>
      <c r="AB203" t="s">
        <v>3556</v>
      </c>
      <c r="AC203" t="s">
        <v>74</v>
      </c>
      <c r="AD203" t="s">
        <v>74</v>
      </c>
      <c r="AE203" t="s">
        <v>74</v>
      </c>
      <c r="AF203" t="s">
        <v>74</v>
      </c>
      <c r="AG203">
        <v>89</v>
      </c>
      <c r="AH203">
        <v>33</v>
      </c>
      <c r="AI203">
        <v>43</v>
      </c>
      <c r="AJ203">
        <v>1</v>
      </c>
      <c r="AK203">
        <v>44</v>
      </c>
      <c r="AL203" t="s">
        <v>521</v>
      </c>
      <c r="AM203" t="s">
        <v>522</v>
      </c>
      <c r="AN203" t="s">
        <v>523</v>
      </c>
      <c r="AO203" t="s">
        <v>3335</v>
      </c>
      <c r="AP203" t="s">
        <v>3336</v>
      </c>
      <c r="AQ203" t="s">
        <v>74</v>
      </c>
      <c r="AR203" t="s">
        <v>3337</v>
      </c>
      <c r="AS203" t="s">
        <v>3338</v>
      </c>
      <c r="AT203" t="s">
        <v>74</v>
      </c>
      <c r="AU203">
        <v>2008</v>
      </c>
      <c r="AV203">
        <v>55</v>
      </c>
      <c r="AW203" t="s">
        <v>489</v>
      </c>
      <c r="AX203" t="s">
        <v>74</v>
      </c>
      <c r="AY203" t="s">
        <v>74</v>
      </c>
      <c r="AZ203" t="s">
        <v>74</v>
      </c>
      <c r="BA203" t="s">
        <v>74</v>
      </c>
      <c r="BB203">
        <v>500</v>
      </c>
      <c r="BC203">
        <v>514</v>
      </c>
      <c r="BD203" t="s">
        <v>74</v>
      </c>
      <c r="BE203" t="s">
        <v>3557</v>
      </c>
      <c r="BF203" t="str">
        <f>HYPERLINK("http://dx.doi.org/10.1016/j.dsr2.2007.11.012","http://dx.doi.org/10.1016/j.dsr2.2007.11.012")</f>
        <v>http://dx.doi.org/10.1016/j.dsr2.2007.11.012</v>
      </c>
      <c r="BG203" t="s">
        <v>74</v>
      </c>
      <c r="BH203" t="s">
        <v>74</v>
      </c>
      <c r="BI203">
        <v>15</v>
      </c>
      <c r="BJ203" t="s">
        <v>630</v>
      </c>
      <c r="BK203" t="s">
        <v>97</v>
      </c>
      <c r="BL203" t="s">
        <v>630</v>
      </c>
      <c r="BM203" t="s">
        <v>3352</v>
      </c>
      <c r="BN203" t="s">
        <v>74</v>
      </c>
      <c r="BO203" t="s">
        <v>74</v>
      </c>
      <c r="BP203" t="s">
        <v>74</v>
      </c>
      <c r="BQ203" t="s">
        <v>74</v>
      </c>
      <c r="BR203" t="s">
        <v>100</v>
      </c>
      <c r="BS203" t="s">
        <v>3558</v>
      </c>
      <c r="BT203" t="str">
        <f>HYPERLINK("https%3A%2F%2Fwww.webofscience.com%2Fwos%2Fwoscc%2Ffull-record%2FWOS:000255119600017","View Full Record in Web of Science")</f>
        <v>View Full Record in Web of Science</v>
      </c>
    </row>
    <row r="204" spans="1:72" x14ac:dyDescent="0.15">
      <c r="A204" t="s">
        <v>72</v>
      </c>
      <c r="B204" t="s">
        <v>3559</v>
      </c>
      <c r="C204" t="s">
        <v>74</v>
      </c>
      <c r="D204" t="s">
        <v>74</v>
      </c>
      <c r="E204" t="s">
        <v>74</v>
      </c>
      <c r="F204" t="s">
        <v>3560</v>
      </c>
      <c r="G204" t="s">
        <v>74</v>
      </c>
      <c r="H204" t="s">
        <v>74</v>
      </c>
      <c r="I204" t="s">
        <v>3561</v>
      </c>
      <c r="J204" t="s">
        <v>3324</v>
      </c>
      <c r="K204" t="s">
        <v>74</v>
      </c>
      <c r="L204" t="s">
        <v>74</v>
      </c>
      <c r="M204" t="s">
        <v>78</v>
      </c>
      <c r="N204" t="s">
        <v>79</v>
      </c>
      <c r="O204" t="s">
        <v>74</v>
      </c>
      <c r="P204" t="s">
        <v>74</v>
      </c>
      <c r="Q204" t="s">
        <v>74</v>
      </c>
      <c r="R204" t="s">
        <v>74</v>
      </c>
      <c r="S204" t="s">
        <v>74</v>
      </c>
      <c r="T204" t="s">
        <v>3562</v>
      </c>
      <c r="U204" t="s">
        <v>3563</v>
      </c>
      <c r="V204" t="s">
        <v>3564</v>
      </c>
      <c r="W204" t="s">
        <v>3565</v>
      </c>
      <c r="X204" t="s">
        <v>3566</v>
      </c>
      <c r="Y204" t="s">
        <v>3567</v>
      </c>
      <c r="Z204" t="s">
        <v>3568</v>
      </c>
      <c r="AA204" t="s">
        <v>3569</v>
      </c>
      <c r="AB204" t="s">
        <v>3570</v>
      </c>
      <c r="AC204" t="s">
        <v>74</v>
      </c>
      <c r="AD204" t="s">
        <v>74</v>
      </c>
      <c r="AE204" t="s">
        <v>74</v>
      </c>
      <c r="AF204" t="s">
        <v>74</v>
      </c>
      <c r="AG204">
        <v>59</v>
      </c>
      <c r="AH204">
        <v>21</v>
      </c>
      <c r="AI204">
        <v>27</v>
      </c>
      <c r="AJ204">
        <v>1</v>
      </c>
      <c r="AK204">
        <v>27</v>
      </c>
      <c r="AL204" t="s">
        <v>521</v>
      </c>
      <c r="AM204" t="s">
        <v>522</v>
      </c>
      <c r="AN204" t="s">
        <v>523</v>
      </c>
      <c r="AO204" t="s">
        <v>3335</v>
      </c>
      <c r="AP204" t="s">
        <v>74</v>
      </c>
      <c r="AQ204" t="s">
        <v>74</v>
      </c>
      <c r="AR204" t="s">
        <v>3337</v>
      </c>
      <c r="AS204" t="s">
        <v>3338</v>
      </c>
      <c r="AT204" t="s">
        <v>74</v>
      </c>
      <c r="AU204">
        <v>2008</v>
      </c>
      <c r="AV204">
        <v>55</v>
      </c>
      <c r="AW204" t="s">
        <v>489</v>
      </c>
      <c r="AX204" t="s">
        <v>74</v>
      </c>
      <c r="AY204" t="s">
        <v>74</v>
      </c>
      <c r="AZ204" t="s">
        <v>74</v>
      </c>
      <c r="BA204" t="s">
        <v>74</v>
      </c>
      <c r="BB204">
        <v>515</v>
      </c>
      <c r="BC204">
        <v>522</v>
      </c>
      <c r="BD204" t="s">
        <v>74</v>
      </c>
      <c r="BE204" t="s">
        <v>3571</v>
      </c>
      <c r="BF204" t="str">
        <f>HYPERLINK("http://dx.doi.org/10.1016/j.dsr2.2007.11.002","http://dx.doi.org/10.1016/j.dsr2.2007.11.002")</f>
        <v>http://dx.doi.org/10.1016/j.dsr2.2007.11.002</v>
      </c>
      <c r="BG204" t="s">
        <v>74</v>
      </c>
      <c r="BH204" t="s">
        <v>74</v>
      </c>
      <c r="BI204">
        <v>8</v>
      </c>
      <c r="BJ204" t="s">
        <v>630</v>
      </c>
      <c r="BK204" t="s">
        <v>97</v>
      </c>
      <c r="BL204" t="s">
        <v>630</v>
      </c>
      <c r="BM204" t="s">
        <v>3352</v>
      </c>
      <c r="BN204" t="s">
        <v>74</v>
      </c>
      <c r="BO204" t="s">
        <v>74</v>
      </c>
      <c r="BP204" t="s">
        <v>74</v>
      </c>
      <c r="BQ204" t="s">
        <v>74</v>
      </c>
      <c r="BR204" t="s">
        <v>100</v>
      </c>
      <c r="BS204" t="s">
        <v>3572</v>
      </c>
      <c r="BT204" t="str">
        <f>HYPERLINK("https%3A%2F%2Fwww.webofscience.com%2Fwos%2Fwoscc%2Ffull-record%2FWOS:000255119600018","View Full Record in Web of Science")</f>
        <v>View Full Record in Web of Science</v>
      </c>
    </row>
    <row r="205" spans="1:72" x14ac:dyDescent="0.15">
      <c r="A205" t="s">
        <v>72</v>
      </c>
      <c r="B205" t="s">
        <v>3573</v>
      </c>
      <c r="C205" t="s">
        <v>74</v>
      </c>
      <c r="D205" t="s">
        <v>74</v>
      </c>
      <c r="E205" t="s">
        <v>74</v>
      </c>
      <c r="F205" t="s">
        <v>3574</v>
      </c>
      <c r="G205" t="s">
        <v>74</v>
      </c>
      <c r="H205" t="s">
        <v>74</v>
      </c>
      <c r="I205" t="s">
        <v>3575</v>
      </c>
      <c r="J205" t="s">
        <v>3324</v>
      </c>
      <c r="K205" t="s">
        <v>74</v>
      </c>
      <c r="L205" t="s">
        <v>74</v>
      </c>
      <c r="M205" t="s">
        <v>78</v>
      </c>
      <c r="N205" t="s">
        <v>79</v>
      </c>
      <c r="O205" t="s">
        <v>74</v>
      </c>
      <c r="P205" t="s">
        <v>74</v>
      </c>
      <c r="Q205" t="s">
        <v>74</v>
      </c>
      <c r="R205" t="s">
        <v>74</v>
      </c>
      <c r="S205" t="s">
        <v>74</v>
      </c>
      <c r="T205" t="s">
        <v>3576</v>
      </c>
      <c r="U205" t="s">
        <v>3577</v>
      </c>
      <c r="V205" t="s">
        <v>3578</v>
      </c>
      <c r="W205" t="s">
        <v>3579</v>
      </c>
      <c r="X205" t="s">
        <v>3465</v>
      </c>
      <c r="Y205" t="s">
        <v>3580</v>
      </c>
      <c r="Z205" t="s">
        <v>3581</v>
      </c>
      <c r="AA205" t="s">
        <v>74</v>
      </c>
      <c r="AB205" t="s">
        <v>74</v>
      </c>
      <c r="AC205" t="s">
        <v>74</v>
      </c>
      <c r="AD205" t="s">
        <v>74</v>
      </c>
      <c r="AE205" t="s">
        <v>74</v>
      </c>
      <c r="AF205" t="s">
        <v>74</v>
      </c>
      <c r="AG205">
        <v>48</v>
      </c>
      <c r="AH205">
        <v>55</v>
      </c>
      <c r="AI205">
        <v>62</v>
      </c>
      <c r="AJ205">
        <v>2</v>
      </c>
      <c r="AK205">
        <v>24</v>
      </c>
      <c r="AL205" t="s">
        <v>521</v>
      </c>
      <c r="AM205" t="s">
        <v>522</v>
      </c>
      <c r="AN205" t="s">
        <v>523</v>
      </c>
      <c r="AO205" t="s">
        <v>3335</v>
      </c>
      <c r="AP205" t="s">
        <v>3336</v>
      </c>
      <c r="AQ205" t="s">
        <v>74</v>
      </c>
      <c r="AR205" t="s">
        <v>3337</v>
      </c>
      <c r="AS205" t="s">
        <v>3338</v>
      </c>
      <c r="AT205" t="s">
        <v>74</v>
      </c>
      <c r="AU205">
        <v>2008</v>
      </c>
      <c r="AV205">
        <v>55</v>
      </c>
      <c r="AW205" t="s">
        <v>489</v>
      </c>
      <c r="AX205" t="s">
        <v>74</v>
      </c>
      <c r="AY205" t="s">
        <v>74</v>
      </c>
      <c r="AZ205" t="s">
        <v>74</v>
      </c>
      <c r="BA205" t="s">
        <v>74</v>
      </c>
      <c r="BB205">
        <v>523</v>
      </c>
      <c r="BC205">
        <v>539</v>
      </c>
      <c r="BD205" t="s">
        <v>74</v>
      </c>
      <c r="BE205" t="s">
        <v>3582</v>
      </c>
      <c r="BF205" t="str">
        <f>HYPERLINK("http://dx.doi.org/10.1016/j.dsr2.2007.11.015","http://dx.doi.org/10.1016/j.dsr2.2007.11.015")</f>
        <v>http://dx.doi.org/10.1016/j.dsr2.2007.11.015</v>
      </c>
      <c r="BG205" t="s">
        <v>74</v>
      </c>
      <c r="BH205" t="s">
        <v>74</v>
      </c>
      <c r="BI205">
        <v>17</v>
      </c>
      <c r="BJ205" t="s">
        <v>630</v>
      </c>
      <c r="BK205" t="s">
        <v>97</v>
      </c>
      <c r="BL205" t="s">
        <v>630</v>
      </c>
      <c r="BM205" t="s">
        <v>3352</v>
      </c>
      <c r="BN205" t="s">
        <v>74</v>
      </c>
      <c r="BO205" t="s">
        <v>74</v>
      </c>
      <c r="BP205" t="s">
        <v>74</v>
      </c>
      <c r="BQ205" t="s">
        <v>74</v>
      </c>
      <c r="BR205" t="s">
        <v>100</v>
      </c>
      <c r="BS205" t="s">
        <v>3583</v>
      </c>
      <c r="BT205" t="str">
        <f>HYPERLINK("https%3A%2F%2Fwww.webofscience.com%2Fwos%2Fwoscc%2Ffull-record%2FWOS:000255119600019","View Full Record in Web of Science")</f>
        <v>View Full Record in Web of Science</v>
      </c>
    </row>
    <row r="206" spans="1:72" x14ac:dyDescent="0.15">
      <c r="A206" t="s">
        <v>72</v>
      </c>
      <c r="B206" t="s">
        <v>3584</v>
      </c>
      <c r="C206" t="s">
        <v>74</v>
      </c>
      <c r="D206" t="s">
        <v>74</v>
      </c>
      <c r="E206" t="s">
        <v>74</v>
      </c>
      <c r="F206" t="s">
        <v>3585</v>
      </c>
      <c r="G206" t="s">
        <v>74</v>
      </c>
      <c r="H206" t="s">
        <v>74</v>
      </c>
      <c r="I206" t="s">
        <v>3586</v>
      </c>
      <c r="J206" t="s">
        <v>3324</v>
      </c>
      <c r="K206" t="s">
        <v>74</v>
      </c>
      <c r="L206" t="s">
        <v>74</v>
      </c>
      <c r="M206" t="s">
        <v>78</v>
      </c>
      <c r="N206" t="s">
        <v>79</v>
      </c>
      <c r="O206" t="s">
        <v>74</v>
      </c>
      <c r="P206" t="s">
        <v>74</v>
      </c>
      <c r="Q206" t="s">
        <v>74</v>
      </c>
      <c r="R206" t="s">
        <v>74</v>
      </c>
      <c r="S206" t="s">
        <v>74</v>
      </c>
      <c r="T206" t="s">
        <v>3587</v>
      </c>
      <c r="U206" t="s">
        <v>3588</v>
      </c>
      <c r="V206" t="s">
        <v>3589</v>
      </c>
      <c r="W206" t="s">
        <v>3590</v>
      </c>
      <c r="X206" t="s">
        <v>3591</v>
      </c>
      <c r="Y206" t="s">
        <v>3592</v>
      </c>
      <c r="Z206" t="s">
        <v>3593</v>
      </c>
      <c r="AA206" t="s">
        <v>3594</v>
      </c>
      <c r="AB206" t="s">
        <v>3595</v>
      </c>
      <c r="AC206" t="s">
        <v>74</v>
      </c>
      <c r="AD206" t="s">
        <v>74</v>
      </c>
      <c r="AE206" t="s">
        <v>74</v>
      </c>
      <c r="AF206" t="s">
        <v>74</v>
      </c>
      <c r="AG206">
        <v>60</v>
      </c>
      <c r="AH206">
        <v>43</v>
      </c>
      <c r="AI206">
        <v>49</v>
      </c>
      <c r="AJ206">
        <v>0</v>
      </c>
      <c r="AK206">
        <v>30</v>
      </c>
      <c r="AL206" t="s">
        <v>521</v>
      </c>
      <c r="AM206" t="s">
        <v>522</v>
      </c>
      <c r="AN206" t="s">
        <v>523</v>
      </c>
      <c r="AO206" t="s">
        <v>3335</v>
      </c>
      <c r="AP206" t="s">
        <v>3336</v>
      </c>
      <c r="AQ206" t="s">
        <v>74</v>
      </c>
      <c r="AR206" t="s">
        <v>3337</v>
      </c>
      <c r="AS206" t="s">
        <v>3338</v>
      </c>
      <c r="AT206" t="s">
        <v>74</v>
      </c>
      <c r="AU206">
        <v>2008</v>
      </c>
      <c r="AV206">
        <v>55</v>
      </c>
      <c r="AW206" t="s">
        <v>489</v>
      </c>
      <c r="AX206" t="s">
        <v>74</v>
      </c>
      <c r="AY206" t="s">
        <v>74</v>
      </c>
      <c r="AZ206" t="s">
        <v>74</v>
      </c>
      <c r="BA206" t="s">
        <v>74</v>
      </c>
      <c r="BB206">
        <v>540</v>
      </c>
      <c r="BC206">
        <v>557</v>
      </c>
      <c r="BD206" t="s">
        <v>74</v>
      </c>
      <c r="BE206" t="s">
        <v>3596</v>
      </c>
      <c r="BF206" t="str">
        <f>HYPERLINK("http://dx.doi.org/10.1016/j.dsr2.2007.11.013","http://dx.doi.org/10.1016/j.dsr2.2007.11.013")</f>
        <v>http://dx.doi.org/10.1016/j.dsr2.2007.11.013</v>
      </c>
      <c r="BG206" t="s">
        <v>74</v>
      </c>
      <c r="BH206" t="s">
        <v>74</v>
      </c>
      <c r="BI206">
        <v>18</v>
      </c>
      <c r="BJ206" t="s">
        <v>630</v>
      </c>
      <c r="BK206" t="s">
        <v>97</v>
      </c>
      <c r="BL206" t="s">
        <v>630</v>
      </c>
      <c r="BM206" t="s">
        <v>3352</v>
      </c>
      <c r="BN206" t="s">
        <v>74</v>
      </c>
      <c r="BO206" t="s">
        <v>74</v>
      </c>
      <c r="BP206" t="s">
        <v>74</v>
      </c>
      <c r="BQ206" t="s">
        <v>74</v>
      </c>
      <c r="BR206" t="s">
        <v>100</v>
      </c>
      <c r="BS206" t="s">
        <v>3597</v>
      </c>
      <c r="BT206" t="str">
        <f>HYPERLINK("https%3A%2F%2Fwww.webofscience.com%2Fwos%2Fwoscc%2Ffull-record%2FWOS:000255119600020","View Full Record in Web of Science")</f>
        <v>View Full Record in Web of Science</v>
      </c>
    </row>
    <row r="207" spans="1:72" x14ac:dyDescent="0.15">
      <c r="A207" t="s">
        <v>72</v>
      </c>
      <c r="B207" t="s">
        <v>3598</v>
      </c>
      <c r="C207" t="s">
        <v>74</v>
      </c>
      <c r="D207" t="s">
        <v>74</v>
      </c>
      <c r="E207" t="s">
        <v>74</v>
      </c>
      <c r="F207" t="s">
        <v>3599</v>
      </c>
      <c r="G207" t="s">
        <v>74</v>
      </c>
      <c r="H207" t="s">
        <v>74</v>
      </c>
      <c r="I207" t="s">
        <v>3600</v>
      </c>
      <c r="J207" t="s">
        <v>3324</v>
      </c>
      <c r="K207" t="s">
        <v>74</v>
      </c>
      <c r="L207" t="s">
        <v>74</v>
      </c>
      <c r="M207" t="s">
        <v>78</v>
      </c>
      <c r="N207" t="s">
        <v>438</v>
      </c>
      <c r="O207" t="s">
        <v>74</v>
      </c>
      <c r="P207" t="s">
        <v>74</v>
      </c>
      <c r="Q207" t="s">
        <v>74</v>
      </c>
      <c r="R207" t="s">
        <v>74</v>
      </c>
      <c r="S207" t="s">
        <v>74</v>
      </c>
      <c r="T207" t="s">
        <v>74</v>
      </c>
      <c r="U207" t="s">
        <v>3601</v>
      </c>
      <c r="V207" t="s">
        <v>74</v>
      </c>
      <c r="W207" t="s">
        <v>3602</v>
      </c>
      <c r="X207" t="s">
        <v>3603</v>
      </c>
      <c r="Y207" t="s">
        <v>3604</v>
      </c>
      <c r="Z207" t="s">
        <v>3605</v>
      </c>
      <c r="AA207" t="s">
        <v>3606</v>
      </c>
      <c r="AB207" t="s">
        <v>3607</v>
      </c>
      <c r="AC207" t="s">
        <v>74</v>
      </c>
      <c r="AD207" t="s">
        <v>74</v>
      </c>
      <c r="AE207" t="s">
        <v>74</v>
      </c>
      <c r="AF207" t="s">
        <v>74</v>
      </c>
      <c r="AG207">
        <v>21</v>
      </c>
      <c r="AH207">
        <v>42</v>
      </c>
      <c r="AI207">
        <v>44</v>
      </c>
      <c r="AJ207">
        <v>0</v>
      </c>
      <c r="AK207">
        <v>15</v>
      </c>
      <c r="AL207" t="s">
        <v>521</v>
      </c>
      <c r="AM207" t="s">
        <v>522</v>
      </c>
      <c r="AN207" t="s">
        <v>523</v>
      </c>
      <c r="AO207" t="s">
        <v>3335</v>
      </c>
      <c r="AP207" t="s">
        <v>74</v>
      </c>
      <c r="AQ207" t="s">
        <v>74</v>
      </c>
      <c r="AR207" t="s">
        <v>3337</v>
      </c>
      <c r="AS207" t="s">
        <v>3338</v>
      </c>
      <c r="AT207" t="s">
        <v>74</v>
      </c>
      <c r="AU207">
        <v>2008</v>
      </c>
      <c r="AV207">
        <v>55</v>
      </c>
      <c r="AW207" t="s">
        <v>3608</v>
      </c>
      <c r="AX207" t="s">
        <v>74</v>
      </c>
      <c r="AY207" t="s">
        <v>74</v>
      </c>
      <c r="AZ207" t="s">
        <v>74</v>
      </c>
      <c r="BA207" t="s">
        <v>74</v>
      </c>
      <c r="BB207">
        <v>559</v>
      </c>
      <c r="BC207">
        <v>565</v>
      </c>
      <c r="BD207" t="s">
        <v>74</v>
      </c>
      <c r="BE207" t="s">
        <v>3609</v>
      </c>
      <c r="BF207" t="str">
        <f>HYPERLINK("http://dx.doi.org/10.1016/j.dsr2.2008.01.002","http://dx.doi.org/10.1016/j.dsr2.2008.01.002")</f>
        <v>http://dx.doi.org/10.1016/j.dsr2.2008.01.002</v>
      </c>
      <c r="BG207" t="s">
        <v>74</v>
      </c>
      <c r="BH207" t="s">
        <v>74</v>
      </c>
      <c r="BI207">
        <v>7</v>
      </c>
      <c r="BJ207" t="s">
        <v>630</v>
      </c>
      <c r="BK207" t="s">
        <v>97</v>
      </c>
      <c r="BL207" t="s">
        <v>630</v>
      </c>
      <c r="BM207" t="s">
        <v>3610</v>
      </c>
      <c r="BN207" t="s">
        <v>74</v>
      </c>
      <c r="BO207" t="s">
        <v>74</v>
      </c>
      <c r="BP207" t="s">
        <v>74</v>
      </c>
      <c r="BQ207" t="s">
        <v>74</v>
      </c>
      <c r="BR207" t="s">
        <v>100</v>
      </c>
      <c r="BS207" t="s">
        <v>3611</v>
      </c>
      <c r="BT207" t="str">
        <f>HYPERLINK("https%3A%2F%2Fwww.webofscience.com%2Fwos%2Fwoscc%2Ffull-record%2FWOS:000256746000001","View Full Record in Web of Science")</f>
        <v>View Full Record in Web of Science</v>
      </c>
    </row>
    <row r="208" spans="1:72" x14ac:dyDescent="0.15">
      <c r="A208" t="s">
        <v>72</v>
      </c>
      <c r="B208" t="s">
        <v>3612</v>
      </c>
      <c r="C208" t="s">
        <v>74</v>
      </c>
      <c r="D208" t="s">
        <v>74</v>
      </c>
      <c r="E208" t="s">
        <v>74</v>
      </c>
      <c r="F208" t="s">
        <v>3613</v>
      </c>
      <c r="G208" t="s">
        <v>74</v>
      </c>
      <c r="H208" t="s">
        <v>74</v>
      </c>
      <c r="I208" t="s">
        <v>3614</v>
      </c>
      <c r="J208" t="s">
        <v>3324</v>
      </c>
      <c r="K208" t="s">
        <v>74</v>
      </c>
      <c r="L208" t="s">
        <v>74</v>
      </c>
      <c r="M208" t="s">
        <v>78</v>
      </c>
      <c r="N208" t="s">
        <v>79</v>
      </c>
      <c r="O208" t="s">
        <v>74</v>
      </c>
      <c r="P208" t="s">
        <v>74</v>
      </c>
      <c r="Q208" t="s">
        <v>74</v>
      </c>
      <c r="R208" t="s">
        <v>74</v>
      </c>
      <c r="S208" t="s">
        <v>74</v>
      </c>
      <c r="T208" t="s">
        <v>3615</v>
      </c>
      <c r="U208" t="s">
        <v>3616</v>
      </c>
      <c r="V208" t="s">
        <v>3617</v>
      </c>
      <c r="W208" t="s">
        <v>3618</v>
      </c>
      <c r="X208" t="s">
        <v>3619</v>
      </c>
      <c r="Y208" t="s">
        <v>3620</v>
      </c>
      <c r="Z208" t="s">
        <v>3621</v>
      </c>
      <c r="AA208" t="s">
        <v>3622</v>
      </c>
      <c r="AB208" t="s">
        <v>3623</v>
      </c>
      <c r="AC208" t="s">
        <v>74</v>
      </c>
      <c r="AD208" t="s">
        <v>74</v>
      </c>
      <c r="AE208" t="s">
        <v>74</v>
      </c>
      <c r="AF208" t="s">
        <v>74</v>
      </c>
      <c r="AG208">
        <v>18</v>
      </c>
      <c r="AH208">
        <v>100</v>
      </c>
      <c r="AI208">
        <v>102</v>
      </c>
      <c r="AJ208">
        <v>0</v>
      </c>
      <c r="AK208">
        <v>18</v>
      </c>
      <c r="AL208" t="s">
        <v>521</v>
      </c>
      <c r="AM208" t="s">
        <v>522</v>
      </c>
      <c r="AN208" t="s">
        <v>523</v>
      </c>
      <c r="AO208" t="s">
        <v>3335</v>
      </c>
      <c r="AP208" t="s">
        <v>74</v>
      </c>
      <c r="AQ208" t="s">
        <v>74</v>
      </c>
      <c r="AR208" t="s">
        <v>3337</v>
      </c>
      <c r="AS208" t="s">
        <v>3338</v>
      </c>
      <c r="AT208" t="s">
        <v>74</v>
      </c>
      <c r="AU208">
        <v>2008</v>
      </c>
      <c r="AV208">
        <v>55</v>
      </c>
      <c r="AW208" t="s">
        <v>3608</v>
      </c>
      <c r="AX208" t="s">
        <v>74</v>
      </c>
      <c r="AY208" t="s">
        <v>74</v>
      </c>
      <c r="AZ208" t="s">
        <v>74</v>
      </c>
      <c r="BA208" t="s">
        <v>74</v>
      </c>
      <c r="BB208">
        <v>566</v>
      </c>
      <c r="BC208">
        <v>581</v>
      </c>
      <c r="BD208" t="s">
        <v>74</v>
      </c>
      <c r="BE208" t="s">
        <v>3624</v>
      </c>
      <c r="BF208" t="str">
        <f>HYPERLINK("http://dx.doi.org/10.1016/j.dsr2.2007.12.030","http://dx.doi.org/10.1016/j.dsr2.2007.12.030")</f>
        <v>http://dx.doi.org/10.1016/j.dsr2.2007.12.030</v>
      </c>
      <c r="BG208" t="s">
        <v>74</v>
      </c>
      <c r="BH208" t="s">
        <v>74</v>
      </c>
      <c r="BI208">
        <v>16</v>
      </c>
      <c r="BJ208" t="s">
        <v>630</v>
      </c>
      <c r="BK208" t="s">
        <v>97</v>
      </c>
      <c r="BL208" t="s">
        <v>630</v>
      </c>
      <c r="BM208" t="s">
        <v>3610</v>
      </c>
      <c r="BN208" t="s">
        <v>74</v>
      </c>
      <c r="BO208" t="s">
        <v>74</v>
      </c>
      <c r="BP208" t="s">
        <v>74</v>
      </c>
      <c r="BQ208" t="s">
        <v>74</v>
      </c>
      <c r="BR208" t="s">
        <v>100</v>
      </c>
      <c r="BS208" t="s">
        <v>3625</v>
      </c>
      <c r="BT208" t="str">
        <f>HYPERLINK("https%3A%2F%2Fwww.webofscience.com%2Fwos%2Fwoscc%2Ffull-record%2FWOS:000256746000002","View Full Record in Web of Science")</f>
        <v>View Full Record in Web of Science</v>
      </c>
    </row>
    <row r="209" spans="1:72" x14ac:dyDescent="0.15">
      <c r="A209" t="s">
        <v>72</v>
      </c>
      <c r="B209" t="s">
        <v>3626</v>
      </c>
      <c r="C209" t="s">
        <v>74</v>
      </c>
      <c r="D209" t="s">
        <v>74</v>
      </c>
      <c r="E209" t="s">
        <v>74</v>
      </c>
      <c r="F209" t="s">
        <v>3627</v>
      </c>
      <c r="G209" t="s">
        <v>74</v>
      </c>
      <c r="H209" t="s">
        <v>74</v>
      </c>
      <c r="I209" t="s">
        <v>3628</v>
      </c>
      <c r="J209" t="s">
        <v>3324</v>
      </c>
      <c r="K209" t="s">
        <v>74</v>
      </c>
      <c r="L209" t="s">
        <v>74</v>
      </c>
      <c r="M209" t="s">
        <v>78</v>
      </c>
      <c r="N209" t="s">
        <v>79</v>
      </c>
      <c r="O209" t="s">
        <v>74</v>
      </c>
      <c r="P209" t="s">
        <v>74</v>
      </c>
      <c r="Q209" t="s">
        <v>74</v>
      </c>
      <c r="R209" t="s">
        <v>74</v>
      </c>
      <c r="S209" t="s">
        <v>74</v>
      </c>
      <c r="T209" t="s">
        <v>3629</v>
      </c>
      <c r="U209" t="s">
        <v>3630</v>
      </c>
      <c r="V209" t="s">
        <v>3631</v>
      </c>
      <c r="W209" t="s">
        <v>3632</v>
      </c>
      <c r="X209" t="s">
        <v>3633</v>
      </c>
      <c r="Y209" t="s">
        <v>3634</v>
      </c>
      <c r="Z209" t="s">
        <v>3635</v>
      </c>
      <c r="AA209" t="s">
        <v>3636</v>
      </c>
      <c r="AB209" t="s">
        <v>3637</v>
      </c>
      <c r="AC209" t="s">
        <v>74</v>
      </c>
      <c r="AD209" t="s">
        <v>74</v>
      </c>
      <c r="AE209" t="s">
        <v>74</v>
      </c>
      <c r="AF209" t="s">
        <v>74</v>
      </c>
      <c r="AG209">
        <v>50</v>
      </c>
      <c r="AH209">
        <v>31</v>
      </c>
      <c r="AI209">
        <v>34</v>
      </c>
      <c r="AJ209">
        <v>0</v>
      </c>
      <c r="AK209">
        <v>13</v>
      </c>
      <c r="AL209" t="s">
        <v>521</v>
      </c>
      <c r="AM209" t="s">
        <v>522</v>
      </c>
      <c r="AN209" t="s">
        <v>523</v>
      </c>
      <c r="AO209" t="s">
        <v>3335</v>
      </c>
      <c r="AP209" t="s">
        <v>3336</v>
      </c>
      <c r="AQ209" t="s">
        <v>74</v>
      </c>
      <c r="AR209" t="s">
        <v>3337</v>
      </c>
      <c r="AS209" t="s">
        <v>3338</v>
      </c>
      <c r="AT209" t="s">
        <v>74</v>
      </c>
      <c r="AU209">
        <v>2008</v>
      </c>
      <c r="AV209">
        <v>55</v>
      </c>
      <c r="AW209" t="s">
        <v>3608</v>
      </c>
      <c r="AX209" t="s">
        <v>74</v>
      </c>
      <c r="AY209" t="s">
        <v>74</v>
      </c>
      <c r="AZ209" t="s">
        <v>74</v>
      </c>
      <c r="BA209" t="s">
        <v>74</v>
      </c>
      <c r="BB209">
        <v>677</v>
      </c>
      <c r="BC209">
        <v>692</v>
      </c>
      <c r="BD209" t="s">
        <v>74</v>
      </c>
      <c r="BE209" t="s">
        <v>3638</v>
      </c>
      <c r="BF209" t="str">
        <f>HYPERLINK("http://dx.doi.org/10.1016/j.dsr2.2007.12.032","http://dx.doi.org/10.1016/j.dsr2.2007.12.032")</f>
        <v>http://dx.doi.org/10.1016/j.dsr2.2007.12.032</v>
      </c>
      <c r="BG209" t="s">
        <v>74</v>
      </c>
      <c r="BH209" t="s">
        <v>74</v>
      </c>
      <c r="BI209">
        <v>16</v>
      </c>
      <c r="BJ209" t="s">
        <v>630</v>
      </c>
      <c r="BK209" t="s">
        <v>97</v>
      </c>
      <c r="BL209" t="s">
        <v>630</v>
      </c>
      <c r="BM209" t="s">
        <v>3610</v>
      </c>
      <c r="BN209" t="s">
        <v>74</v>
      </c>
      <c r="BO209" t="s">
        <v>74</v>
      </c>
      <c r="BP209" t="s">
        <v>74</v>
      </c>
      <c r="BQ209" t="s">
        <v>74</v>
      </c>
      <c r="BR209" t="s">
        <v>100</v>
      </c>
      <c r="BS209" t="s">
        <v>3639</v>
      </c>
      <c r="BT209" t="str">
        <f>HYPERLINK("https%3A%2F%2Fwww.webofscience.com%2Fwos%2Fwoscc%2Ffull-record%2FWOS:000256746000009","View Full Record in Web of Science")</f>
        <v>View Full Record in Web of Science</v>
      </c>
    </row>
    <row r="210" spans="1:72" x14ac:dyDescent="0.15">
      <c r="A210" t="s">
        <v>72</v>
      </c>
      <c r="B210" t="s">
        <v>3640</v>
      </c>
      <c r="C210" t="s">
        <v>74</v>
      </c>
      <c r="D210" t="s">
        <v>74</v>
      </c>
      <c r="E210" t="s">
        <v>74</v>
      </c>
      <c r="F210" t="s">
        <v>3641</v>
      </c>
      <c r="G210" t="s">
        <v>74</v>
      </c>
      <c r="H210" t="s">
        <v>74</v>
      </c>
      <c r="I210" t="s">
        <v>3642</v>
      </c>
      <c r="J210" t="s">
        <v>3324</v>
      </c>
      <c r="K210" t="s">
        <v>74</v>
      </c>
      <c r="L210" t="s">
        <v>74</v>
      </c>
      <c r="M210" t="s">
        <v>78</v>
      </c>
      <c r="N210" t="s">
        <v>79</v>
      </c>
      <c r="O210" t="s">
        <v>74</v>
      </c>
      <c r="P210" t="s">
        <v>74</v>
      </c>
      <c r="Q210" t="s">
        <v>74</v>
      </c>
      <c r="R210" t="s">
        <v>74</v>
      </c>
      <c r="S210" t="s">
        <v>74</v>
      </c>
      <c r="T210" t="s">
        <v>3643</v>
      </c>
      <c r="U210" t="s">
        <v>3644</v>
      </c>
      <c r="V210" t="s">
        <v>3645</v>
      </c>
      <c r="W210" t="s">
        <v>3646</v>
      </c>
      <c r="X210" t="s">
        <v>3647</v>
      </c>
      <c r="Y210" t="s">
        <v>3648</v>
      </c>
      <c r="Z210" t="s">
        <v>3649</v>
      </c>
      <c r="AA210" t="s">
        <v>3650</v>
      </c>
      <c r="AB210" t="s">
        <v>3651</v>
      </c>
      <c r="AC210" t="s">
        <v>74</v>
      </c>
      <c r="AD210" t="s">
        <v>74</v>
      </c>
      <c r="AE210" t="s">
        <v>74</v>
      </c>
      <c r="AF210" t="s">
        <v>74</v>
      </c>
      <c r="AG210">
        <v>68</v>
      </c>
      <c r="AH210">
        <v>36</v>
      </c>
      <c r="AI210">
        <v>38</v>
      </c>
      <c r="AJ210">
        <v>1</v>
      </c>
      <c r="AK210">
        <v>33</v>
      </c>
      <c r="AL210" t="s">
        <v>521</v>
      </c>
      <c r="AM210" t="s">
        <v>522</v>
      </c>
      <c r="AN210" t="s">
        <v>523</v>
      </c>
      <c r="AO210" t="s">
        <v>3335</v>
      </c>
      <c r="AP210" t="s">
        <v>3336</v>
      </c>
      <c r="AQ210" t="s">
        <v>74</v>
      </c>
      <c r="AR210" t="s">
        <v>3337</v>
      </c>
      <c r="AS210" t="s">
        <v>3338</v>
      </c>
      <c r="AT210" t="s">
        <v>74</v>
      </c>
      <c r="AU210">
        <v>2008</v>
      </c>
      <c r="AV210">
        <v>55</v>
      </c>
      <c r="AW210" t="s">
        <v>3608</v>
      </c>
      <c r="AX210" t="s">
        <v>74</v>
      </c>
      <c r="AY210" t="s">
        <v>74</v>
      </c>
      <c r="AZ210" t="s">
        <v>74</v>
      </c>
      <c r="BA210" t="s">
        <v>74</v>
      </c>
      <c r="BB210">
        <v>720</v>
      </c>
      <c r="BC210">
        <v>733</v>
      </c>
      <c r="BD210" t="s">
        <v>74</v>
      </c>
      <c r="BE210" t="s">
        <v>3652</v>
      </c>
      <c r="BF210" t="str">
        <f>HYPERLINK("http://dx.doi.org/10.1016/j.dsr2.2007.12.010","http://dx.doi.org/10.1016/j.dsr2.2007.12.010")</f>
        <v>http://dx.doi.org/10.1016/j.dsr2.2007.12.010</v>
      </c>
      <c r="BG210" t="s">
        <v>74</v>
      </c>
      <c r="BH210" t="s">
        <v>74</v>
      </c>
      <c r="BI210">
        <v>14</v>
      </c>
      <c r="BJ210" t="s">
        <v>630</v>
      </c>
      <c r="BK210" t="s">
        <v>97</v>
      </c>
      <c r="BL210" t="s">
        <v>630</v>
      </c>
      <c r="BM210" t="s">
        <v>3610</v>
      </c>
      <c r="BN210" t="s">
        <v>74</v>
      </c>
      <c r="BO210" t="s">
        <v>74</v>
      </c>
      <c r="BP210" t="s">
        <v>74</v>
      </c>
      <c r="BQ210" t="s">
        <v>74</v>
      </c>
      <c r="BR210" t="s">
        <v>100</v>
      </c>
      <c r="BS210" t="s">
        <v>3653</v>
      </c>
      <c r="BT210" t="str">
        <f>HYPERLINK("https%3A%2F%2Fwww.webofscience.com%2Fwos%2Fwoscc%2Ffull-record%2FWOS:000256746000012","View Full Record in Web of Science")</f>
        <v>View Full Record in Web of Science</v>
      </c>
    </row>
    <row r="211" spans="1:72" x14ac:dyDescent="0.15">
      <c r="A211" t="s">
        <v>72</v>
      </c>
      <c r="B211" t="s">
        <v>3654</v>
      </c>
      <c r="C211" t="s">
        <v>74</v>
      </c>
      <c r="D211" t="s">
        <v>74</v>
      </c>
      <c r="E211" t="s">
        <v>74</v>
      </c>
      <c r="F211" t="s">
        <v>3655</v>
      </c>
      <c r="G211" t="s">
        <v>74</v>
      </c>
      <c r="H211" t="s">
        <v>74</v>
      </c>
      <c r="I211" t="s">
        <v>3656</v>
      </c>
      <c r="J211" t="s">
        <v>3324</v>
      </c>
      <c r="K211" t="s">
        <v>74</v>
      </c>
      <c r="L211" t="s">
        <v>74</v>
      </c>
      <c r="M211" t="s">
        <v>78</v>
      </c>
      <c r="N211" t="s">
        <v>79</v>
      </c>
      <c r="O211" t="s">
        <v>74</v>
      </c>
      <c r="P211" t="s">
        <v>74</v>
      </c>
      <c r="Q211" t="s">
        <v>74</v>
      </c>
      <c r="R211" t="s">
        <v>74</v>
      </c>
      <c r="S211" t="s">
        <v>74</v>
      </c>
      <c r="T211" t="s">
        <v>3657</v>
      </c>
      <c r="U211" t="s">
        <v>3658</v>
      </c>
      <c r="V211" t="s">
        <v>3659</v>
      </c>
      <c r="W211" t="s">
        <v>3660</v>
      </c>
      <c r="X211" t="s">
        <v>3661</v>
      </c>
      <c r="Y211" t="s">
        <v>3662</v>
      </c>
      <c r="Z211" t="s">
        <v>3663</v>
      </c>
      <c r="AA211" t="s">
        <v>3664</v>
      </c>
      <c r="AB211" t="s">
        <v>3665</v>
      </c>
      <c r="AC211" t="s">
        <v>74</v>
      </c>
      <c r="AD211" t="s">
        <v>74</v>
      </c>
      <c r="AE211" t="s">
        <v>74</v>
      </c>
      <c r="AF211" t="s">
        <v>74</v>
      </c>
      <c r="AG211">
        <v>95</v>
      </c>
      <c r="AH211">
        <v>91</v>
      </c>
      <c r="AI211">
        <v>96</v>
      </c>
      <c r="AJ211">
        <v>3</v>
      </c>
      <c r="AK211">
        <v>30</v>
      </c>
      <c r="AL211" t="s">
        <v>521</v>
      </c>
      <c r="AM211" t="s">
        <v>522</v>
      </c>
      <c r="AN211" t="s">
        <v>523</v>
      </c>
      <c r="AO211" t="s">
        <v>3335</v>
      </c>
      <c r="AP211" t="s">
        <v>3336</v>
      </c>
      <c r="AQ211" t="s">
        <v>74</v>
      </c>
      <c r="AR211" t="s">
        <v>3337</v>
      </c>
      <c r="AS211" t="s">
        <v>3338</v>
      </c>
      <c r="AT211" t="s">
        <v>74</v>
      </c>
      <c r="AU211">
        <v>2008</v>
      </c>
      <c r="AV211">
        <v>55</v>
      </c>
      <c r="AW211" t="s">
        <v>3608</v>
      </c>
      <c r="AX211" t="s">
        <v>74</v>
      </c>
      <c r="AY211" t="s">
        <v>74</v>
      </c>
      <c r="AZ211" t="s">
        <v>74</v>
      </c>
      <c r="BA211" t="s">
        <v>74</v>
      </c>
      <c r="BB211">
        <v>734</v>
      </c>
      <c r="BC211">
        <v>751</v>
      </c>
      <c r="BD211" t="s">
        <v>74</v>
      </c>
      <c r="BE211" t="s">
        <v>3666</v>
      </c>
      <c r="BF211" t="str">
        <f>HYPERLINK("http://dx.doi.org/10.1016/j.dsr2.2007.12.033","http://dx.doi.org/10.1016/j.dsr2.2007.12.033")</f>
        <v>http://dx.doi.org/10.1016/j.dsr2.2007.12.033</v>
      </c>
      <c r="BG211" t="s">
        <v>74</v>
      </c>
      <c r="BH211" t="s">
        <v>74</v>
      </c>
      <c r="BI211">
        <v>18</v>
      </c>
      <c r="BJ211" t="s">
        <v>630</v>
      </c>
      <c r="BK211" t="s">
        <v>97</v>
      </c>
      <c r="BL211" t="s">
        <v>630</v>
      </c>
      <c r="BM211" t="s">
        <v>3610</v>
      </c>
      <c r="BN211" t="s">
        <v>74</v>
      </c>
      <c r="BO211" t="s">
        <v>1050</v>
      </c>
      <c r="BP211" t="s">
        <v>74</v>
      </c>
      <c r="BQ211" t="s">
        <v>74</v>
      </c>
      <c r="BR211" t="s">
        <v>100</v>
      </c>
      <c r="BS211" t="s">
        <v>3667</v>
      </c>
      <c r="BT211" t="str">
        <f>HYPERLINK("https%3A%2F%2Fwww.webofscience.com%2Fwos%2Fwoscc%2Ffull-record%2FWOS:000256746000013","View Full Record in Web of Science")</f>
        <v>View Full Record in Web of Science</v>
      </c>
    </row>
    <row r="212" spans="1:72" x14ac:dyDescent="0.15">
      <c r="A212" t="s">
        <v>72</v>
      </c>
      <c r="B212" t="s">
        <v>3668</v>
      </c>
      <c r="C212" t="s">
        <v>74</v>
      </c>
      <c r="D212" t="s">
        <v>74</v>
      </c>
      <c r="E212" t="s">
        <v>74</v>
      </c>
      <c r="F212" t="s">
        <v>3669</v>
      </c>
      <c r="G212" t="s">
        <v>74</v>
      </c>
      <c r="H212" t="s">
        <v>74</v>
      </c>
      <c r="I212" t="s">
        <v>3670</v>
      </c>
      <c r="J212" t="s">
        <v>3324</v>
      </c>
      <c r="K212" t="s">
        <v>74</v>
      </c>
      <c r="L212" t="s">
        <v>74</v>
      </c>
      <c r="M212" t="s">
        <v>78</v>
      </c>
      <c r="N212" t="s">
        <v>79</v>
      </c>
      <c r="O212" t="s">
        <v>74</v>
      </c>
      <c r="P212" t="s">
        <v>74</v>
      </c>
      <c r="Q212" t="s">
        <v>74</v>
      </c>
      <c r="R212" t="s">
        <v>74</v>
      </c>
      <c r="S212" t="s">
        <v>74</v>
      </c>
      <c r="T212" t="s">
        <v>3671</v>
      </c>
      <c r="U212" t="s">
        <v>3672</v>
      </c>
      <c r="V212" t="s">
        <v>3673</v>
      </c>
      <c r="W212" t="s">
        <v>3674</v>
      </c>
      <c r="X212" t="s">
        <v>3675</v>
      </c>
      <c r="Y212" t="s">
        <v>3676</v>
      </c>
      <c r="Z212" t="s">
        <v>3677</v>
      </c>
      <c r="AA212" t="s">
        <v>3678</v>
      </c>
      <c r="AB212" t="s">
        <v>3679</v>
      </c>
      <c r="AC212" t="s">
        <v>74</v>
      </c>
      <c r="AD212" t="s">
        <v>74</v>
      </c>
      <c r="AE212" t="s">
        <v>74</v>
      </c>
      <c r="AF212" t="s">
        <v>74</v>
      </c>
      <c r="AG212">
        <v>75</v>
      </c>
      <c r="AH212">
        <v>54</v>
      </c>
      <c r="AI212">
        <v>57</v>
      </c>
      <c r="AJ212">
        <v>1</v>
      </c>
      <c r="AK212">
        <v>34</v>
      </c>
      <c r="AL212" t="s">
        <v>521</v>
      </c>
      <c r="AM212" t="s">
        <v>522</v>
      </c>
      <c r="AN212" t="s">
        <v>523</v>
      </c>
      <c r="AO212" t="s">
        <v>3335</v>
      </c>
      <c r="AP212" t="s">
        <v>3336</v>
      </c>
      <c r="AQ212" t="s">
        <v>74</v>
      </c>
      <c r="AR212" t="s">
        <v>3337</v>
      </c>
      <c r="AS212" t="s">
        <v>3338</v>
      </c>
      <c r="AT212" t="s">
        <v>74</v>
      </c>
      <c r="AU212">
        <v>2008</v>
      </c>
      <c r="AV212">
        <v>55</v>
      </c>
      <c r="AW212" t="s">
        <v>3608</v>
      </c>
      <c r="AX212" t="s">
        <v>74</v>
      </c>
      <c r="AY212" t="s">
        <v>74</v>
      </c>
      <c r="AZ212" t="s">
        <v>74</v>
      </c>
      <c r="BA212" t="s">
        <v>74</v>
      </c>
      <c r="BB212">
        <v>820</v>
      </c>
      <c r="BC212">
        <v>840</v>
      </c>
      <c r="BD212" t="s">
        <v>74</v>
      </c>
      <c r="BE212" t="s">
        <v>3680</v>
      </c>
      <c r="BF212" t="str">
        <f>HYPERLINK("http://dx.doi.org/10.1016/j.dsr2.2007.12.035","http://dx.doi.org/10.1016/j.dsr2.2007.12.035")</f>
        <v>http://dx.doi.org/10.1016/j.dsr2.2007.12.035</v>
      </c>
      <c r="BG212" t="s">
        <v>74</v>
      </c>
      <c r="BH212" t="s">
        <v>74</v>
      </c>
      <c r="BI212">
        <v>21</v>
      </c>
      <c r="BJ212" t="s">
        <v>630</v>
      </c>
      <c r="BK212" t="s">
        <v>97</v>
      </c>
      <c r="BL212" t="s">
        <v>630</v>
      </c>
      <c r="BM212" t="s">
        <v>3610</v>
      </c>
      <c r="BN212" t="s">
        <v>74</v>
      </c>
      <c r="BO212" t="s">
        <v>74</v>
      </c>
      <c r="BP212" t="s">
        <v>74</v>
      </c>
      <c r="BQ212" t="s">
        <v>74</v>
      </c>
      <c r="BR212" t="s">
        <v>100</v>
      </c>
      <c r="BS212" t="s">
        <v>3681</v>
      </c>
      <c r="BT212" t="str">
        <f>HYPERLINK("https%3A%2F%2Fwww.webofscience.com%2Fwos%2Fwoscc%2Ffull-record%2FWOS:000256746000019","View Full Record in Web of Science")</f>
        <v>View Full Record in Web of Science</v>
      </c>
    </row>
    <row r="213" spans="1:72" x14ac:dyDescent="0.15">
      <c r="A213" t="s">
        <v>72</v>
      </c>
      <c r="B213" t="s">
        <v>3682</v>
      </c>
      <c r="C213" t="s">
        <v>74</v>
      </c>
      <c r="D213" t="s">
        <v>74</v>
      </c>
      <c r="E213" t="s">
        <v>74</v>
      </c>
      <c r="F213" t="s">
        <v>3683</v>
      </c>
      <c r="G213" t="s">
        <v>74</v>
      </c>
      <c r="H213" t="s">
        <v>74</v>
      </c>
      <c r="I213" t="s">
        <v>3684</v>
      </c>
      <c r="J213" t="s">
        <v>3324</v>
      </c>
      <c r="K213" t="s">
        <v>74</v>
      </c>
      <c r="L213" t="s">
        <v>74</v>
      </c>
      <c r="M213" t="s">
        <v>78</v>
      </c>
      <c r="N213" t="s">
        <v>79</v>
      </c>
      <c r="O213" t="s">
        <v>74</v>
      </c>
      <c r="P213" t="s">
        <v>74</v>
      </c>
      <c r="Q213" t="s">
        <v>74</v>
      </c>
      <c r="R213" t="s">
        <v>74</v>
      </c>
      <c r="S213" t="s">
        <v>74</v>
      </c>
      <c r="T213" t="s">
        <v>3685</v>
      </c>
      <c r="U213" t="s">
        <v>3686</v>
      </c>
      <c r="V213" t="s">
        <v>3687</v>
      </c>
      <c r="W213" t="s">
        <v>3688</v>
      </c>
      <c r="X213" t="s">
        <v>3689</v>
      </c>
      <c r="Y213" t="s">
        <v>3690</v>
      </c>
      <c r="Z213" t="s">
        <v>3691</v>
      </c>
      <c r="AA213" t="s">
        <v>3692</v>
      </c>
      <c r="AB213" t="s">
        <v>74</v>
      </c>
      <c r="AC213" t="s">
        <v>74</v>
      </c>
      <c r="AD213" t="s">
        <v>74</v>
      </c>
      <c r="AE213" t="s">
        <v>74</v>
      </c>
      <c r="AF213" t="s">
        <v>74</v>
      </c>
      <c r="AG213">
        <v>46</v>
      </c>
      <c r="AH213">
        <v>58</v>
      </c>
      <c r="AI213">
        <v>60</v>
      </c>
      <c r="AJ213">
        <v>1</v>
      </c>
      <c r="AK213">
        <v>16</v>
      </c>
      <c r="AL213" t="s">
        <v>521</v>
      </c>
      <c r="AM213" t="s">
        <v>522</v>
      </c>
      <c r="AN213" t="s">
        <v>523</v>
      </c>
      <c r="AO213" t="s">
        <v>3335</v>
      </c>
      <c r="AP213" t="s">
        <v>3336</v>
      </c>
      <c r="AQ213" t="s">
        <v>74</v>
      </c>
      <c r="AR213" t="s">
        <v>3337</v>
      </c>
      <c r="AS213" t="s">
        <v>3338</v>
      </c>
      <c r="AT213" t="s">
        <v>74</v>
      </c>
      <c r="AU213">
        <v>2008</v>
      </c>
      <c r="AV213">
        <v>55</v>
      </c>
      <c r="AW213" t="s">
        <v>3608</v>
      </c>
      <c r="AX213" t="s">
        <v>74</v>
      </c>
      <c r="AY213" t="s">
        <v>74</v>
      </c>
      <c r="AZ213" t="s">
        <v>74</v>
      </c>
      <c r="BA213" t="s">
        <v>74</v>
      </c>
      <c r="BB213">
        <v>841</v>
      </c>
      <c r="BC213">
        <v>855</v>
      </c>
      <c r="BD213" t="s">
        <v>74</v>
      </c>
      <c r="BE213" t="s">
        <v>3693</v>
      </c>
      <c r="BF213" t="str">
        <f>HYPERLINK("http://dx.doi.org/10.1016/j.dsr2.2007.12.036","http://dx.doi.org/10.1016/j.dsr2.2007.12.036")</f>
        <v>http://dx.doi.org/10.1016/j.dsr2.2007.12.036</v>
      </c>
      <c r="BG213" t="s">
        <v>74</v>
      </c>
      <c r="BH213" t="s">
        <v>74</v>
      </c>
      <c r="BI213">
        <v>15</v>
      </c>
      <c r="BJ213" t="s">
        <v>630</v>
      </c>
      <c r="BK213" t="s">
        <v>97</v>
      </c>
      <c r="BL213" t="s">
        <v>630</v>
      </c>
      <c r="BM213" t="s">
        <v>3610</v>
      </c>
      <c r="BN213" t="s">
        <v>74</v>
      </c>
      <c r="BO213" t="s">
        <v>74</v>
      </c>
      <c r="BP213" t="s">
        <v>74</v>
      </c>
      <c r="BQ213" t="s">
        <v>74</v>
      </c>
      <c r="BR213" t="s">
        <v>100</v>
      </c>
      <c r="BS213" t="s">
        <v>3694</v>
      </c>
      <c r="BT213" t="str">
        <f>HYPERLINK("https%3A%2F%2Fwww.webofscience.com%2Fwos%2Fwoscc%2Ffull-record%2FWOS:000256746000020","View Full Record in Web of Science")</f>
        <v>View Full Record in Web of Science</v>
      </c>
    </row>
    <row r="214" spans="1:72" x14ac:dyDescent="0.15">
      <c r="A214" t="s">
        <v>72</v>
      </c>
      <c r="B214" t="s">
        <v>3695</v>
      </c>
      <c r="C214" t="s">
        <v>74</v>
      </c>
      <c r="D214" t="s">
        <v>74</v>
      </c>
      <c r="E214" t="s">
        <v>74</v>
      </c>
      <c r="F214" t="s">
        <v>3696</v>
      </c>
      <c r="G214" t="s">
        <v>74</v>
      </c>
      <c r="H214" t="s">
        <v>74</v>
      </c>
      <c r="I214" t="s">
        <v>3697</v>
      </c>
      <c r="J214" t="s">
        <v>3324</v>
      </c>
      <c r="K214" t="s">
        <v>74</v>
      </c>
      <c r="L214" t="s">
        <v>74</v>
      </c>
      <c r="M214" t="s">
        <v>78</v>
      </c>
      <c r="N214" t="s">
        <v>79</v>
      </c>
      <c r="O214" t="s">
        <v>74</v>
      </c>
      <c r="P214" t="s">
        <v>74</v>
      </c>
      <c r="Q214" t="s">
        <v>74</v>
      </c>
      <c r="R214" t="s">
        <v>74</v>
      </c>
      <c r="S214" t="s">
        <v>74</v>
      </c>
      <c r="T214" t="s">
        <v>3698</v>
      </c>
      <c r="U214" t="s">
        <v>3699</v>
      </c>
      <c r="V214" t="s">
        <v>3700</v>
      </c>
      <c r="W214" t="s">
        <v>3701</v>
      </c>
      <c r="X214" t="s">
        <v>3702</v>
      </c>
      <c r="Y214" t="s">
        <v>3703</v>
      </c>
      <c r="Z214" t="s">
        <v>3704</v>
      </c>
      <c r="AA214" t="s">
        <v>3705</v>
      </c>
      <c r="AB214" t="s">
        <v>3706</v>
      </c>
      <c r="AC214" t="s">
        <v>74</v>
      </c>
      <c r="AD214" t="s">
        <v>74</v>
      </c>
      <c r="AE214" t="s">
        <v>74</v>
      </c>
      <c r="AF214" t="s">
        <v>74</v>
      </c>
      <c r="AG214">
        <v>60</v>
      </c>
      <c r="AH214">
        <v>34</v>
      </c>
      <c r="AI214">
        <v>36</v>
      </c>
      <c r="AJ214">
        <v>0</v>
      </c>
      <c r="AK214">
        <v>10</v>
      </c>
      <c r="AL214" t="s">
        <v>521</v>
      </c>
      <c r="AM214" t="s">
        <v>522</v>
      </c>
      <c r="AN214" t="s">
        <v>523</v>
      </c>
      <c r="AO214" t="s">
        <v>3335</v>
      </c>
      <c r="AP214" t="s">
        <v>3336</v>
      </c>
      <c r="AQ214" t="s">
        <v>74</v>
      </c>
      <c r="AR214" t="s">
        <v>3337</v>
      </c>
      <c r="AS214" t="s">
        <v>3338</v>
      </c>
      <c r="AT214" t="s">
        <v>74</v>
      </c>
      <c r="AU214">
        <v>2008</v>
      </c>
      <c r="AV214">
        <v>55</v>
      </c>
      <c r="AW214" t="s">
        <v>3608</v>
      </c>
      <c r="AX214" t="s">
        <v>74</v>
      </c>
      <c r="AY214" t="s">
        <v>74</v>
      </c>
      <c r="AZ214" t="s">
        <v>74</v>
      </c>
      <c r="BA214" t="s">
        <v>74</v>
      </c>
      <c r="BB214">
        <v>856</v>
      </c>
      <c r="BC214">
        <v>867</v>
      </c>
      <c r="BD214" t="s">
        <v>74</v>
      </c>
      <c r="BE214" t="s">
        <v>3707</v>
      </c>
      <c r="BF214" t="str">
        <f>HYPERLINK("http://dx.doi.org/10.1016/j.dsr2.2007.12.037","http://dx.doi.org/10.1016/j.dsr2.2007.12.037")</f>
        <v>http://dx.doi.org/10.1016/j.dsr2.2007.12.037</v>
      </c>
      <c r="BG214" t="s">
        <v>74</v>
      </c>
      <c r="BH214" t="s">
        <v>74</v>
      </c>
      <c r="BI214">
        <v>12</v>
      </c>
      <c r="BJ214" t="s">
        <v>630</v>
      </c>
      <c r="BK214" t="s">
        <v>97</v>
      </c>
      <c r="BL214" t="s">
        <v>630</v>
      </c>
      <c r="BM214" t="s">
        <v>3610</v>
      </c>
      <c r="BN214" t="s">
        <v>74</v>
      </c>
      <c r="BO214" t="s">
        <v>74</v>
      </c>
      <c r="BP214" t="s">
        <v>74</v>
      </c>
      <c r="BQ214" t="s">
        <v>74</v>
      </c>
      <c r="BR214" t="s">
        <v>100</v>
      </c>
      <c r="BS214" t="s">
        <v>3708</v>
      </c>
      <c r="BT214" t="str">
        <f>HYPERLINK("https%3A%2F%2Fwww.webofscience.com%2Fwos%2Fwoscc%2Ffull-record%2FWOS:000256746000021","View Full Record in Web of Science")</f>
        <v>View Full Record in Web of Science</v>
      </c>
    </row>
    <row r="215" spans="1:72" x14ac:dyDescent="0.15">
      <c r="A215" t="s">
        <v>72</v>
      </c>
      <c r="B215" t="s">
        <v>3709</v>
      </c>
      <c r="C215" t="s">
        <v>74</v>
      </c>
      <c r="D215" t="s">
        <v>74</v>
      </c>
      <c r="E215" t="s">
        <v>74</v>
      </c>
      <c r="F215" t="s">
        <v>3710</v>
      </c>
      <c r="G215" t="s">
        <v>74</v>
      </c>
      <c r="H215" t="s">
        <v>74</v>
      </c>
      <c r="I215" t="s">
        <v>3711</v>
      </c>
      <c r="J215" t="s">
        <v>3324</v>
      </c>
      <c r="K215" t="s">
        <v>74</v>
      </c>
      <c r="L215" t="s">
        <v>74</v>
      </c>
      <c r="M215" t="s">
        <v>78</v>
      </c>
      <c r="N215" t="s">
        <v>79</v>
      </c>
      <c r="O215" t="s">
        <v>74</v>
      </c>
      <c r="P215" t="s">
        <v>74</v>
      </c>
      <c r="Q215" t="s">
        <v>74</v>
      </c>
      <c r="R215" t="s">
        <v>74</v>
      </c>
      <c r="S215" t="s">
        <v>74</v>
      </c>
      <c r="T215" t="s">
        <v>3712</v>
      </c>
      <c r="U215" t="s">
        <v>3713</v>
      </c>
      <c r="V215" t="s">
        <v>3714</v>
      </c>
      <c r="W215" t="s">
        <v>3715</v>
      </c>
      <c r="X215" t="s">
        <v>3716</v>
      </c>
      <c r="Y215" t="s">
        <v>3717</v>
      </c>
      <c r="Z215" t="s">
        <v>3718</v>
      </c>
      <c r="AA215" t="s">
        <v>3719</v>
      </c>
      <c r="AB215" t="s">
        <v>3720</v>
      </c>
      <c r="AC215" t="s">
        <v>74</v>
      </c>
      <c r="AD215" t="s">
        <v>74</v>
      </c>
      <c r="AE215" t="s">
        <v>74</v>
      </c>
      <c r="AF215" t="s">
        <v>74</v>
      </c>
      <c r="AG215">
        <v>27</v>
      </c>
      <c r="AH215">
        <v>70</v>
      </c>
      <c r="AI215">
        <v>73</v>
      </c>
      <c r="AJ215">
        <v>0</v>
      </c>
      <c r="AK215">
        <v>17</v>
      </c>
      <c r="AL215" t="s">
        <v>521</v>
      </c>
      <c r="AM215" t="s">
        <v>522</v>
      </c>
      <c r="AN215" t="s">
        <v>523</v>
      </c>
      <c r="AO215" t="s">
        <v>3335</v>
      </c>
      <c r="AP215" t="s">
        <v>3336</v>
      </c>
      <c r="AQ215" t="s">
        <v>74</v>
      </c>
      <c r="AR215" t="s">
        <v>3337</v>
      </c>
      <c r="AS215" t="s">
        <v>3338</v>
      </c>
      <c r="AT215" t="s">
        <v>74</v>
      </c>
      <c r="AU215">
        <v>2008</v>
      </c>
      <c r="AV215">
        <v>55</v>
      </c>
      <c r="AW215" t="s">
        <v>3608</v>
      </c>
      <c r="AX215" t="s">
        <v>74</v>
      </c>
      <c r="AY215" t="s">
        <v>74</v>
      </c>
      <c r="AZ215" t="s">
        <v>74</v>
      </c>
      <c r="BA215" t="s">
        <v>74</v>
      </c>
      <c r="BB215">
        <v>880</v>
      </c>
      <c r="BC215">
        <v>892</v>
      </c>
      <c r="BD215" t="s">
        <v>74</v>
      </c>
      <c r="BE215" t="s">
        <v>3721</v>
      </c>
      <c r="BF215" t="str">
        <f>HYPERLINK("http://dx.doi.org/10.1016/j.dsr2.2007.12.039","http://dx.doi.org/10.1016/j.dsr2.2007.12.039")</f>
        <v>http://dx.doi.org/10.1016/j.dsr2.2007.12.039</v>
      </c>
      <c r="BG215" t="s">
        <v>74</v>
      </c>
      <c r="BH215" t="s">
        <v>74</v>
      </c>
      <c r="BI215">
        <v>13</v>
      </c>
      <c r="BJ215" t="s">
        <v>630</v>
      </c>
      <c r="BK215" t="s">
        <v>97</v>
      </c>
      <c r="BL215" t="s">
        <v>630</v>
      </c>
      <c r="BM215" t="s">
        <v>3610</v>
      </c>
      <c r="BN215" t="s">
        <v>74</v>
      </c>
      <c r="BO215" t="s">
        <v>74</v>
      </c>
      <c r="BP215" t="s">
        <v>74</v>
      </c>
      <c r="BQ215" t="s">
        <v>74</v>
      </c>
      <c r="BR215" t="s">
        <v>100</v>
      </c>
      <c r="BS215" t="s">
        <v>3722</v>
      </c>
      <c r="BT215" t="str">
        <f>HYPERLINK("https%3A%2F%2Fwww.webofscience.com%2Fwos%2Fwoscc%2Ffull-record%2FWOS:000256746000023","View Full Record in Web of Science")</f>
        <v>View Full Record in Web of Science</v>
      </c>
    </row>
    <row r="216" spans="1:72" x14ac:dyDescent="0.15">
      <c r="A216" t="s">
        <v>72</v>
      </c>
      <c r="B216" t="s">
        <v>3723</v>
      </c>
      <c r="C216" t="s">
        <v>74</v>
      </c>
      <c r="D216" t="s">
        <v>74</v>
      </c>
      <c r="E216" t="s">
        <v>74</v>
      </c>
      <c r="F216" t="s">
        <v>3724</v>
      </c>
      <c r="G216" t="s">
        <v>74</v>
      </c>
      <c r="H216" t="s">
        <v>74</v>
      </c>
      <c r="I216" t="s">
        <v>3725</v>
      </c>
      <c r="J216" t="s">
        <v>3324</v>
      </c>
      <c r="K216" t="s">
        <v>74</v>
      </c>
      <c r="L216" t="s">
        <v>74</v>
      </c>
      <c r="M216" t="s">
        <v>78</v>
      </c>
      <c r="N216" t="s">
        <v>79</v>
      </c>
      <c r="O216" t="s">
        <v>74</v>
      </c>
      <c r="P216" t="s">
        <v>74</v>
      </c>
      <c r="Q216" t="s">
        <v>74</v>
      </c>
      <c r="R216" t="s">
        <v>74</v>
      </c>
      <c r="S216" t="s">
        <v>74</v>
      </c>
      <c r="T216" t="s">
        <v>3726</v>
      </c>
      <c r="U216" t="s">
        <v>3727</v>
      </c>
      <c r="V216" t="s">
        <v>3728</v>
      </c>
      <c r="W216" t="s">
        <v>3729</v>
      </c>
      <c r="X216" t="s">
        <v>3730</v>
      </c>
      <c r="Y216" t="s">
        <v>3731</v>
      </c>
      <c r="Z216" t="s">
        <v>3732</v>
      </c>
      <c r="AA216" t="s">
        <v>3733</v>
      </c>
      <c r="AB216" t="s">
        <v>3734</v>
      </c>
      <c r="AC216" t="s">
        <v>74</v>
      </c>
      <c r="AD216" t="s">
        <v>74</v>
      </c>
      <c r="AE216" t="s">
        <v>74</v>
      </c>
      <c r="AF216" t="s">
        <v>74</v>
      </c>
      <c r="AG216">
        <v>16</v>
      </c>
      <c r="AH216">
        <v>11</v>
      </c>
      <c r="AI216">
        <v>11</v>
      </c>
      <c r="AJ216">
        <v>0</v>
      </c>
      <c r="AK216">
        <v>21</v>
      </c>
      <c r="AL216" t="s">
        <v>521</v>
      </c>
      <c r="AM216" t="s">
        <v>522</v>
      </c>
      <c r="AN216" t="s">
        <v>523</v>
      </c>
      <c r="AO216" t="s">
        <v>3335</v>
      </c>
      <c r="AP216" t="s">
        <v>74</v>
      </c>
      <c r="AQ216" t="s">
        <v>74</v>
      </c>
      <c r="AR216" t="s">
        <v>3337</v>
      </c>
      <c r="AS216" t="s">
        <v>3338</v>
      </c>
      <c r="AT216" t="s">
        <v>74</v>
      </c>
      <c r="AU216">
        <v>2008</v>
      </c>
      <c r="AV216">
        <v>55</v>
      </c>
      <c r="AW216" t="s">
        <v>3608</v>
      </c>
      <c r="AX216" t="s">
        <v>74</v>
      </c>
      <c r="AY216" t="s">
        <v>74</v>
      </c>
      <c r="AZ216" t="s">
        <v>74</v>
      </c>
      <c r="BA216" t="s">
        <v>74</v>
      </c>
      <c r="BB216">
        <v>893</v>
      </c>
      <c r="BC216">
        <v>900</v>
      </c>
      <c r="BD216" t="s">
        <v>74</v>
      </c>
      <c r="BE216" t="s">
        <v>3735</v>
      </c>
      <c r="BF216" t="str">
        <f>HYPERLINK("http://dx.doi.org/10.1016/j.dsr2.2007.12.040","http://dx.doi.org/10.1016/j.dsr2.2007.12.040")</f>
        <v>http://dx.doi.org/10.1016/j.dsr2.2007.12.040</v>
      </c>
      <c r="BG216" t="s">
        <v>74</v>
      </c>
      <c r="BH216" t="s">
        <v>74</v>
      </c>
      <c r="BI216">
        <v>8</v>
      </c>
      <c r="BJ216" t="s">
        <v>630</v>
      </c>
      <c r="BK216" t="s">
        <v>97</v>
      </c>
      <c r="BL216" t="s">
        <v>630</v>
      </c>
      <c r="BM216" t="s">
        <v>3610</v>
      </c>
      <c r="BN216" t="s">
        <v>74</v>
      </c>
      <c r="BO216" t="s">
        <v>74</v>
      </c>
      <c r="BP216" t="s">
        <v>74</v>
      </c>
      <c r="BQ216" t="s">
        <v>74</v>
      </c>
      <c r="BR216" t="s">
        <v>100</v>
      </c>
      <c r="BS216" t="s">
        <v>3736</v>
      </c>
      <c r="BT216" t="str">
        <f>HYPERLINK("https%3A%2F%2Fwww.webofscience.com%2Fwos%2Fwoscc%2Ffull-record%2FWOS:000256746000024","View Full Record in Web of Science")</f>
        <v>View Full Record in Web of Science</v>
      </c>
    </row>
    <row r="217" spans="1:72" x14ac:dyDescent="0.15">
      <c r="A217" t="s">
        <v>72</v>
      </c>
      <c r="B217" t="s">
        <v>3737</v>
      </c>
      <c r="C217" t="s">
        <v>74</v>
      </c>
      <c r="D217" t="s">
        <v>74</v>
      </c>
      <c r="E217" t="s">
        <v>74</v>
      </c>
      <c r="F217" t="s">
        <v>3738</v>
      </c>
      <c r="G217" t="s">
        <v>74</v>
      </c>
      <c r="H217" t="s">
        <v>74</v>
      </c>
      <c r="I217" t="s">
        <v>3739</v>
      </c>
      <c r="J217" t="s">
        <v>3324</v>
      </c>
      <c r="K217" t="s">
        <v>74</v>
      </c>
      <c r="L217" t="s">
        <v>74</v>
      </c>
      <c r="M217" t="s">
        <v>78</v>
      </c>
      <c r="N217" t="s">
        <v>79</v>
      </c>
      <c r="O217" t="s">
        <v>74</v>
      </c>
      <c r="P217" t="s">
        <v>74</v>
      </c>
      <c r="Q217" t="s">
        <v>74</v>
      </c>
      <c r="R217" t="s">
        <v>74</v>
      </c>
      <c r="S217" t="s">
        <v>74</v>
      </c>
      <c r="T217" t="s">
        <v>3740</v>
      </c>
      <c r="U217" t="s">
        <v>3741</v>
      </c>
      <c r="V217" t="s">
        <v>3742</v>
      </c>
      <c r="W217" t="s">
        <v>3743</v>
      </c>
      <c r="X217" t="s">
        <v>3744</v>
      </c>
      <c r="Y217" t="s">
        <v>3745</v>
      </c>
      <c r="Z217" t="s">
        <v>3746</v>
      </c>
      <c r="AA217" t="s">
        <v>3747</v>
      </c>
      <c r="AB217" t="s">
        <v>3748</v>
      </c>
      <c r="AC217" t="s">
        <v>74</v>
      </c>
      <c r="AD217" t="s">
        <v>74</v>
      </c>
      <c r="AE217" t="s">
        <v>74</v>
      </c>
      <c r="AF217" t="s">
        <v>74</v>
      </c>
      <c r="AG217">
        <v>73</v>
      </c>
      <c r="AH217">
        <v>8</v>
      </c>
      <c r="AI217">
        <v>8</v>
      </c>
      <c r="AJ217">
        <v>0</v>
      </c>
      <c r="AK217">
        <v>2</v>
      </c>
      <c r="AL217" t="s">
        <v>521</v>
      </c>
      <c r="AM217" t="s">
        <v>522</v>
      </c>
      <c r="AN217" t="s">
        <v>523</v>
      </c>
      <c r="AO217" t="s">
        <v>3335</v>
      </c>
      <c r="AP217" t="s">
        <v>3336</v>
      </c>
      <c r="AQ217" t="s">
        <v>74</v>
      </c>
      <c r="AR217" t="s">
        <v>3337</v>
      </c>
      <c r="AS217" t="s">
        <v>3338</v>
      </c>
      <c r="AT217" t="s">
        <v>74</v>
      </c>
      <c r="AU217">
        <v>2008</v>
      </c>
      <c r="AV217">
        <v>55</v>
      </c>
      <c r="AW217" t="s">
        <v>3749</v>
      </c>
      <c r="AX217" t="s">
        <v>74</v>
      </c>
      <c r="AY217" t="s">
        <v>74</v>
      </c>
      <c r="AZ217" t="s">
        <v>74</v>
      </c>
      <c r="BA217" t="s">
        <v>74</v>
      </c>
      <c r="BB217">
        <v>918</v>
      </c>
      <c r="BC217">
        <v>932</v>
      </c>
      <c r="BD217" t="s">
        <v>74</v>
      </c>
      <c r="BE217" t="s">
        <v>3750</v>
      </c>
      <c r="BF217" t="str">
        <f>HYPERLINK("http://dx.doi.org/10.1016/j.dsr2.2007.12.017","http://dx.doi.org/10.1016/j.dsr2.2007.12.017")</f>
        <v>http://dx.doi.org/10.1016/j.dsr2.2007.12.017</v>
      </c>
      <c r="BG217" t="s">
        <v>74</v>
      </c>
      <c r="BH217" t="s">
        <v>74</v>
      </c>
      <c r="BI217">
        <v>15</v>
      </c>
      <c r="BJ217" t="s">
        <v>630</v>
      </c>
      <c r="BK217" t="s">
        <v>97</v>
      </c>
      <c r="BL217" t="s">
        <v>630</v>
      </c>
      <c r="BM217" t="s">
        <v>3751</v>
      </c>
      <c r="BN217" t="s">
        <v>74</v>
      </c>
      <c r="BO217" t="s">
        <v>74</v>
      </c>
      <c r="BP217" t="s">
        <v>74</v>
      </c>
      <c r="BQ217" t="s">
        <v>74</v>
      </c>
      <c r="BR217" t="s">
        <v>100</v>
      </c>
      <c r="BS217" t="s">
        <v>3752</v>
      </c>
      <c r="BT217" t="str">
        <f>HYPERLINK("https%3A%2F%2Fwww.webofscience.com%2Fwos%2Fwoscc%2Ffull-record%2FWOS:000257303200002","View Full Record in Web of Science")</f>
        <v>View Full Record in Web of Science</v>
      </c>
    </row>
    <row r="218" spans="1:72" x14ac:dyDescent="0.15">
      <c r="A218" t="s">
        <v>72</v>
      </c>
      <c r="B218" t="s">
        <v>3753</v>
      </c>
      <c r="C218" t="s">
        <v>74</v>
      </c>
      <c r="D218" t="s">
        <v>74</v>
      </c>
      <c r="E218" t="s">
        <v>74</v>
      </c>
      <c r="F218" t="s">
        <v>3754</v>
      </c>
      <c r="G218" t="s">
        <v>74</v>
      </c>
      <c r="H218" t="s">
        <v>74</v>
      </c>
      <c r="I218" t="s">
        <v>3755</v>
      </c>
      <c r="J218" t="s">
        <v>3324</v>
      </c>
      <c r="K218" t="s">
        <v>74</v>
      </c>
      <c r="L218" t="s">
        <v>74</v>
      </c>
      <c r="M218" t="s">
        <v>78</v>
      </c>
      <c r="N218" t="s">
        <v>79</v>
      </c>
      <c r="O218" t="s">
        <v>74</v>
      </c>
      <c r="P218" t="s">
        <v>74</v>
      </c>
      <c r="Q218" t="s">
        <v>74</v>
      </c>
      <c r="R218" t="s">
        <v>74</v>
      </c>
      <c r="S218" t="s">
        <v>74</v>
      </c>
      <c r="T218" t="s">
        <v>3756</v>
      </c>
      <c r="U218" t="s">
        <v>74</v>
      </c>
      <c r="V218" t="s">
        <v>3757</v>
      </c>
      <c r="W218" t="s">
        <v>3758</v>
      </c>
      <c r="X218" t="s">
        <v>3759</v>
      </c>
      <c r="Y218" t="s">
        <v>3760</v>
      </c>
      <c r="Z218" t="s">
        <v>3761</v>
      </c>
      <c r="AA218" t="s">
        <v>977</v>
      </c>
      <c r="AB218" t="s">
        <v>3762</v>
      </c>
      <c r="AC218" t="s">
        <v>74</v>
      </c>
      <c r="AD218" t="s">
        <v>74</v>
      </c>
      <c r="AE218" t="s">
        <v>74</v>
      </c>
      <c r="AF218" t="s">
        <v>74</v>
      </c>
      <c r="AG218">
        <v>17</v>
      </c>
      <c r="AH218">
        <v>64</v>
      </c>
      <c r="AI218">
        <v>70</v>
      </c>
      <c r="AJ218">
        <v>1</v>
      </c>
      <c r="AK218">
        <v>9</v>
      </c>
      <c r="AL218" t="s">
        <v>521</v>
      </c>
      <c r="AM218" t="s">
        <v>522</v>
      </c>
      <c r="AN218" t="s">
        <v>523</v>
      </c>
      <c r="AO218" t="s">
        <v>3335</v>
      </c>
      <c r="AP218" t="s">
        <v>74</v>
      </c>
      <c r="AQ218" t="s">
        <v>74</v>
      </c>
      <c r="AR218" t="s">
        <v>3337</v>
      </c>
      <c r="AS218" t="s">
        <v>3338</v>
      </c>
      <c r="AT218" t="s">
        <v>74</v>
      </c>
      <c r="AU218">
        <v>2008</v>
      </c>
      <c r="AV218">
        <v>55</v>
      </c>
      <c r="AW218" t="s">
        <v>3749</v>
      </c>
      <c r="AX218" t="s">
        <v>74</v>
      </c>
      <c r="AY218" t="s">
        <v>74</v>
      </c>
      <c r="AZ218" t="s">
        <v>74</v>
      </c>
      <c r="BA218" t="s">
        <v>74</v>
      </c>
      <c r="BB218">
        <v>933</v>
      </c>
      <c r="BC218">
        <v>942</v>
      </c>
      <c r="BD218" t="s">
        <v>74</v>
      </c>
      <c r="BE218" t="s">
        <v>3763</v>
      </c>
      <c r="BF218" t="str">
        <f>HYPERLINK("http://dx.doi.org/10.1016/j.dsr2.2007.12.016","http://dx.doi.org/10.1016/j.dsr2.2007.12.016")</f>
        <v>http://dx.doi.org/10.1016/j.dsr2.2007.12.016</v>
      </c>
      <c r="BG218" t="s">
        <v>74</v>
      </c>
      <c r="BH218" t="s">
        <v>74</v>
      </c>
      <c r="BI218">
        <v>10</v>
      </c>
      <c r="BJ218" t="s">
        <v>630</v>
      </c>
      <c r="BK218" t="s">
        <v>97</v>
      </c>
      <c r="BL218" t="s">
        <v>630</v>
      </c>
      <c r="BM218" t="s">
        <v>3751</v>
      </c>
      <c r="BN218" t="s">
        <v>74</v>
      </c>
      <c r="BO218" t="s">
        <v>74</v>
      </c>
      <c r="BP218" t="s">
        <v>74</v>
      </c>
      <c r="BQ218" t="s">
        <v>74</v>
      </c>
      <c r="BR218" t="s">
        <v>100</v>
      </c>
      <c r="BS218" t="s">
        <v>3764</v>
      </c>
      <c r="BT218" t="str">
        <f>HYPERLINK("https%3A%2F%2Fwww.webofscience.com%2Fwos%2Fwoscc%2Ffull-record%2FWOS:000257303200003","View Full Record in Web of Science")</f>
        <v>View Full Record in Web of Science</v>
      </c>
    </row>
    <row r="219" spans="1:72" x14ac:dyDescent="0.15">
      <c r="A219" t="s">
        <v>72</v>
      </c>
      <c r="B219" t="s">
        <v>3765</v>
      </c>
      <c r="C219" t="s">
        <v>74</v>
      </c>
      <c r="D219" t="s">
        <v>74</v>
      </c>
      <c r="E219" t="s">
        <v>74</v>
      </c>
      <c r="F219" t="s">
        <v>3766</v>
      </c>
      <c r="G219" t="s">
        <v>74</v>
      </c>
      <c r="H219" t="s">
        <v>74</v>
      </c>
      <c r="I219" t="s">
        <v>3767</v>
      </c>
      <c r="J219" t="s">
        <v>3324</v>
      </c>
      <c r="K219" t="s">
        <v>74</v>
      </c>
      <c r="L219" t="s">
        <v>74</v>
      </c>
      <c r="M219" t="s">
        <v>78</v>
      </c>
      <c r="N219" t="s">
        <v>79</v>
      </c>
      <c r="O219" t="s">
        <v>74</v>
      </c>
      <c r="P219" t="s">
        <v>74</v>
      </c>
      <c r="Q219" t="s">
        <v>74</v>
      </c>
      <c r="R219" t="s">
        <v>74</v>
      </c>
      <c r="S219" t="s">
        <v>74</v>
      </c>
      <c r="T219" t="s">
        <v>3768</v>
      </c>
      <c r="U219" t="s">
        <v>3769</v>
      </c>
      <c r="V219" t="s">
        <v>3770</v>
      </c>
      <c r="W219" t="s">
        <v>3771</v>
      </c>
      <c r="X219" t="s">
        <v>3772</v>
      </c>
      <c r="Y219" t="s">
        <v>3773</v>
      </c>
      <c r="Z219" t="s">
        <v>3761</v>
      </c>
      <c r="AA219" t="s">
        <v>3774</v>
      </c>
      <c r="AB219" t="s">
        <v>3775</v>
      </c>
      <c r="AC219" t="s">
        <v>74</v>
      </c>
      <c r="AD219" t="s">
        <v>74</v>
      </c>
      <c r="AE219" t="s">
        <v>74</v>
      </c>
      <c r="AF219" t="s">
        <v>74</v>
      </c>
      <c r="AG219">
        <v>36</v>
      </c>
      <c r="AH219">
        <v>31</v>
      </c>
      <c r="AI219">
        <v>36</v>
      </c>
      <c r="AJ219">
        <v>1</v>
      </c>
      <c r="AK219">
        <v>8</v>
      </c>
      <c r="AL219" t="s">
        <v>521</v>
      </c>
      <c r="AM219" t="s">
        <v>522</v>
      </c>
      <c r="AN219" t="s">
        <v>523</v>
      </c>
      <c r="AO219" t="s">
        <v>3335</v>
      </c>
      <c r="AP219" t="s">
        <v>74</v>
      </c>
      <c r="AQ219" t="s">
        <v>74</v>
      </c>
      <c r="AR219" t="s">
        <v>3337</v>
      </c>
      <c r="AS219" t="s">
        <v>3338</v>
      </c>
      <c r="AT219" t="s">
        <v>74</v>
      </c>
      <c r="AU219">
        <v>2008</v>
      </c>
      <c r="AV219">
        <v>55</v>
      </c>
      <c r="AW219" t="s">
        <v>3749</v>
      </c>
      <c r="AX219" t="s">
        <v>74</v>
      </c>
      <c r="AY219" t="s">
        <v>74</v>
      </c>
      <c r="AZ219" t="s">
        <v>74</v>
      </c>
      <c r="BA219" t="s">
        <v>74</v>
      </c>
      <c r="BB219">
        <v>943</v>
      </c>
      <c r="BC219">
        <v>962</v>
      </c>
      <c r="BD219" t="s">
        <v>74</v>
      </c>
      <c r="BE219" t="s">
        <v>3776</v>
      </c>
      <c r="BF219" t="str">
        <f>HYPERLINK("http://dx.doi.org/10.1016/j.dsr2.2007.12.026","http://dx.doi.org/10.1016/j.dsr2.2007.12.026")</f>
        <v>http://dx.doi.org/10.1016/j.dsr2.2007.12.026</v>
      </c>
      <c r="BG219" t="s">
        <v>74</v>
      </c>
      <c r="BH219" t="s">
        <v>74</v>
      </c>
      <c r="BI219">
        <v>20</v>
      </c>
      <c r="BJ219" t="s">
        <v>630</v>
      </c>
      <c r="BK219" t="s">
        <v>97</v>
      </c>
      <c r="BL219" t="s">
        <v>630</v>
      </c>
      <c r="BM219" t="s">
        <v>3751</v>
      </c>
      <c r="BN219" t="s">
        <v>74</v>
      </c>
      <c r="BO219" t="s">
        <v>3777</v>
      </c>
      <c r="BP219" t="s">
        <v>74</v>
      </c>
      <c r="BQ219" t="s">
        <v>74</v>
      </c>
      <c r="BR219" t="s">
        <v>100</v>
      </c>
      <c r="BS219" t="s">
        <v>3778</v>
      </c>
      <c r="BT219" t="str">
        <f>HYPERLINK("https%3A%2F%2Fwww.webofscience.com%2Fwos%2Fwoscc%2Ffull-record%2FWOS:000257303200004","View Full Record in Web of Science")</f>
        <v>View Full Record in Web of Science</v>
      </c>
    </row>
    <row r="220" spans="1:72" x14ac:dyDescent="0.15">
      <c r="A220" t="s">
        <v>72</v>
      </c>
      <c r="B220" t="s">
        <v>3779</v>
      </c>
      <c r="C220" t="s">
        <v>74</v>
      </c>
      <c r="D220" t="s">
        <v>74</v>
      </c>
      <c r="E220" t="s">
        <v>74</v>
      </c>
      <c r="F220" t="s">
        <v>3780</v>
      </c>
      <c r="G220" t="s">
        <v>74</v>
      </c>
      <c r="H220" t="s">
        <v>74</v>
      </c>
      <c r="I220" t="s">
        <v>3781</v>
      </c>
      <c r="J220" t="s">
        <v>3324</v>
      </c>
      <c r="K220" t="s">
        <v>74</v>
      </c>
      <c r="L220" t="s">
        <v>74</v>
      </c>
      <c r="M220" t="s">
        <v>78</v>
      </c>
      <c r="N220" t="s">
        <v>79</v>
      </c>
      <c r="O220" t="s">
        <v>74</v>
      </c>
      <c r="P220" t="s">
        <v>74</v>
      </c>
      <c r="Q220" t="s">
        <v>74</v>
      </c>
      <c r="R220" t="s">
        <v>74</v>
      </c>
      <c r="S220" t="s">
        <v>74</v>
      </c>
      <c r="T220" t="s">
        <v>3782</v>
      </c>
      <c r="U220" t="s">
        <v>3783</v>
      </c>
      <c r="V220" t="s">
        <v>3784</v>
      </c>
      <c r="W220" t="s">
        <v>3785</v>
      </c>
      <c r="X220" t="s">
        <v>3786</v>
      </c>
      <c r="Y220" t="s">
        <v>3787</v>
      </c>
      <c r="Z220" t="s">
        <v>3788</v>
      </c>
      <c r="AA220" t="s">
        <v>3789</v>
      </c>
      <c r="AB220" t="s">
        <v>3790</v>
      </c>
      <c r="AC220" t="s">
        <v>74</v>
      </c>
      <c r="AD220" t="s">
        <v>74</v>
      </c>
      <c r="AE220" t="s">
        <v>74</v>
      </c>
      <c r="AF220" t="s">
        <v>74</v>
      </c>
      <c r="AG220">
        <v>36</v>
      </c>
      <c r="AH220">
        <v>39</v>
      </c>
      <c r="AI220">
        <v>41</v>
      </c>
      <c r="AJ220">
        <v>0</v>
      </c>
      <c r="AK220">
        <v>11</v>
      </c>
      <c r="AL220" t="s">
        <v>521</v>
      </c>
      <c r="AM220" t="s">
        <v>522</v>
      </c>
      <c r="AN220" t="s">
        <v>523</v>
      </c>
      <c r="AO220" t="s">
        <v>3335</v>
      </c>
      <c r="AP220" t="s">
        <v>3336</v>
      </c>
      <c r="AQ220" t="s">
        <v>74</v>
      </c>
      <c r="AR220" t="s">
        <v>3337</v>
      </c>
      <c r="AS220" t="s">
        <v>3338</v>
      </c>
      <c r="AT220" t="s">
        <v>74</v>
      </c>
      <c r="AU220">
        <v>2008</v>
      </c>
      <c r="AV220">
        <v>55</v>
      </c>
      <c r="AW220" t="s">
        <v>3749</v>
      </c>
      <c r="AX220" t="s">
        <v>74</v>
      </c>
      <c r="AY220" t="s">
        <v>74</v>
      </c>
      <c r="AZ220" t="s">
        <v>74</v>
      </c>
      <c r="BA220" t="s">
        <v>74</v>
      </c>
      <c r="BB220">
        <v>963</v>
      </c>
      <c r="BC220">
        <v>974</v>
      </c>
      <c r="BD220" t="s">
        <v>74</v>
      </c>
      <c r="BE220" t="s">
        <v>3791</v>
      </c>
      <c r="BF220" t="str">
        <f>HYPERLINK("http://dx.doi.org/10.1016/j.dsr2.2007.12.020","http://dx.doi.org/10.1016/j.dsr2.2007.12.020")</f>
        <v>http://dx.doi.org/10.1016/j.dsr2.2007.12.020</v>
      </c>
      <c r="BG220" t="s">
        <v>74</v>
      </c>
      <c r="BH220" t="s">
        <v>74</v>
      </c>
      <c r="BI220">
        <v>12</v>
      </c>
      <c r="BJ220" t="s">
        <v>630</v>
      </c>
      <c r="BK220" t="s">
        <v>97</v>
      </c>
      <c r="BL220" t="s">
        <v>630</v>
      </c>
      <c r="BM220" t="s">
        <v>3751</v>
      </c>
      <c r="BN220" t="s">
        <v>74</v>
      </c>
      <c r="BO220" t="s">
        <v>128</v>
      </c>
      <c r="BP220" t="s">
        <v>74</v>
      </c>
      <c r="BQ220" t="s">
        <v>74</v>
      </c>
      <c r="BR220" t="s">
        <v>100</v>
      </c>
      <c r="BS220" t="s">
        <v>3792</v>
      </c>
      <c r="BT220" t="str">
        <f>HYPERLINK("https%3A%2F%2Fwww.webofscience.com%2Fwos%2Fwoscc%2Ffull-record%2FWOS:000257303200005","View Full Record in Web of Science")</f>
        <v>View Full Record in Web of Science</v>
      </c>
    </row>
    <row r="221" spans="1:72" x14ac:dyDescent="0.15">
      <c r="A221" t="s">
        <v>72</v>
      </c>
      <c r="B221" t="s">
        <v>3793</v>
      </c>
      <c r="C221" t="s">
        <v>74</v>
      </c>
      <c r="D221" t="s">
        <v>74</v>
      </c>
      <c r="E221" t="s">
        <v>74</v>
      </c>
      <c r="F221" t="s">
        <v>3794</v>
      </c>
      <c r="G221" t="s">
        <v>74</v>
      </c>
      <c r="H221" t="s">
        <v>74</v>
      </c>
      <c r="I221" t="s">
        <v>3795</v>
      </c>
      <c r="J221" t="s">
        <v>3324</v>
      </c>
      <c r="K221" t="s">
        <v>74</v>
      </c>
      <c r="L221" t="s">
        <v>74</v>
      </c>
      <c r="M221" t="s">
        <v>78</v>
      </c>
      <c r="N221" t="s">
        <v>79</v>
      </c>
      <c r="O221" t="s">
        <v>74</v>
      </c>
      <c r="P221" t="s">
        <v>74</v>
      </c>
      <c r="Q221" t="s">
        <v>74</v>
      </c>
      <c r="R221" t="s">
        <v>74</v>
      </c>
      <c r="S221" t="s">
        <v>74</v>
      </c>
      <c r="T221" t="s">
        <v>3796</v>
      </c>
      <c r="U221" t="s">
        <v>3797</v>
      </c>
      <c r="V221" t="s">
        <v>3798</v>
      </c>
      <c r="W221" t="s">
        <v>3799</v>
      </c>
      <c r="X221" t="s">
        <v>3800</v>
      </c>
      <c r="Y221" t="s">
        <v>3801</v>
      </c>
      <c r="Z221" t="s">
        <v>3802</v>
      </c>
      <c r="AA221" t="s">
        <v>3803</v>
      </c>
      <c r="AB221" t="s">
        <v>3804</v>
      </c>
      <c r="AC221" t="s">
        <v>3805</v>
      </c>
      <c r="AD221" t="s">
        <v>116</v>
      </c>
      <c r="AE221" t="s">
        <v>74</v>
      </c>
      <c r="AF221" t="s">
        <v>74</v>
      </c>
      <c r="AG221">
        <v>39</v>
      </c>
      <c r="AH221">
        <v>67</v>
      </c>
      <c r="AI221">
        <v>70</v>
      </c>
      <c r="AJ221">
        <v>0</v>
      </c>
      <c r="AK221">
        <v>20</v>
      </c>
      <c r="AL221" t="s">
        <v>521</v>
      </c>
      <c r="AM221" t="s">
        <v>522</v>
      </c>
      <c r="AN221" t="s">
        <v>523</v>
      </c>
      <c r="AO221" t="s">
        <v>3335</v>
      </c>
      <c r="AP221" t="s">
        <v>74</v>
      </c>
      <c r="AQ221" t="s">
        <v>74</v>
      </c>
      <c r="AR221" t="s">
        <v>3337</v>
      </c>
      <c r="AS221" t="s">
        <v>3338</v>
      </c>
      <c r="AT221" t="s">
        <v>74</v>
      </c>
      <c r="AU221">
        <v>2008</v>
      </c>
      <c r="AV221">
        <v>55</v>
      </c>
      <c r="AW221" t="s">
        <v>3749</v>
      </c>
      <c r="AX221" t="s">
        <v>74</v>
      </c>
      <c r="AY221" t="s">
        <v>74</v>
      </c>
      <c r="AZ221" t="s">
        <v>74</v>
      </c>
      <c r="BA221" t="s">
        <v>74</v>
      </c>
      <c r="BB221">
        <v>975</v>
      </c>
      <c r="BC221">
        <v>987</v>
      </c>
      <c r="BD221" t="s">
        <v>74</v>
      </c>
      <c r="BE221" t="s">
        <v>3806</v>
      </c>
      <c r="BF221" t="str">
        <f>HYPERLINK("http://dx.doi.org/10.1016/j.dsr2.2007.12.021","http://dx.doi.org/10.1016/j.dsr2.2007.12.021")</f>
        <v>http://dx.doi.org/10.1016/j.dsr2.2007.12.021</v>
      </c>
      <c r="BG221" t="s">
        <v>74</v>
      </c>
      <c r="BH221" t="s">
        <v>74</v>
      </c>
      <c r="BI221">
        <v>13</v>
      </c>
      <c r="BJ221" t="s">
        <v>630</v>
      </c>
      <c r="BK221" t="s">
        <v>97</v>
      </c>
      <c r="BL221" t="s">
        <v>630</v>
      </c>
      <c r="BM221" t="s">
        <v>3751</v>
      </c>
      <c r="BN221" t="s">
        <v>74</v>
      </c>
      <c r="BO221" t="s">
        <v>3777</v>
      </c>
      <c r="BP221" t="s">
        <v>74</v>
      </c>
      <c r="BQ221" t="s">
        <v>74</v>
      </c>
      <c r="BR221" t="s">
        <v>100</v>
      </c>
      <c r="BS221" t="s">
        <v>3807</v>
      </c>
      <c r="BT221" t="str">
        <f>HYPERLINK("https%3A%2F%2Fwww.webofscience.com%2Fwos%2Fwoscc%2Ffull-record%2FWOS:000257303200006","View Full Record in Web of Science")</f>
        <v>View Full Record in Web of Science</v>
      </c>
    </row>
    <row r="222" spans="1:72" x14ac:dyDescent="0.15">
      <c r="A222" t="s">
        <v>72</v>
      </c>
      <c r="B222" t="s">
        <v>3808</v>
      </c>
      <c r="C222" t="s">
        <v>74</v>
      </c>
      <c r="D222" t="s">
        <v>74</v>
      </c>
      <c r="E222" t="s">
        <v>74</v>
      </c>
      <c r="F222" t="s">
        <v>3809</v>
      </c>
      <c r="G222" t="s">
        <v>74</v>
      </c>
      <c r="H222" t="s">
        <v>74</v>
      </c>
      <c r="I222" t="s">
        <v>3810</v>
      </c>
      <c r="J222" t="s">
        <v>3324</v>
      </c>
      <c r="K222" t="s">
        <v>74</v>
      </c>
      <c r="L222" t="s">
        <v>74</v>
      </c>
      <c r="M222" t="s">
        <v>78</v>
      </c>
      <c r="N222" t="s">
        <v>79</v>
      </c>
      <c r="O222" t="s">
        <v>74</v>
      </c>
      <c r="P222" t="s">
        <v>74</v>
      </c>
      <c r="Q222" t="s">
        <v>74</v>
      </c>
      <c r="R222" t="s">
        <v>74</v>
      </c>
      <c r="S222" t="s">
        <v>74</v>
      </c>
      <c r="T222" t="s">
        <v>3811</v>
      </c>
      <c r="U222" t="s">
        <v>3812</v>
      </c>
      <c r="V222" t="s">
        <v>3813</v>
      </c>
      <c r="W222" t="s">
        <v>3814</v>
      </c>
      <c r="X222" t="s">
        <v>3815</v>
      </c>
      <c r="Y222" t="s">
        <v>3816</v>
      </c>
      <c r="Z222" t="s">
        <v>3817</v>
      </c>
      <c r="AA222" t="s">
        <v>3818</v>
      </c>
      <c r="AB222" t="s">
        <v>3819</v>
      </c>
      <c r="AC222" t="s">
        <v>74</v>
      </c>
      <c r="AD222" t="s">
        <v>74</v>
      </c>
      <c r="AE222" t="s">
        <v>74</v>
      </c>
      <c r="AF222" t="s">
        <v>74</v>
      </c>
      <c r="AG222">
        <v>33</v>
      </c>
      <c r="AH222">
        <v>21</v>
      </c>
      <c r="AI222">
        <v>23</v>
      </c>
      <c r="AJ222">
        <v>2</v>
      </c>
      <c r="AK222">
        <v>16</v>
      </c>
      <c r="AL222" t="s">
        <v>521</v>
      </c>
      <c r="AM222" t="s">
        <v>522</v>
      </c>
      <c r="AN222" t="s">
        <v>523</v>
      </c>
      <c r="AO222" t="s">
        <v>3335</v>
      </c>
      <c r="AP222" t="s">
        <v>74</v>
      </c>
      <c r="AQ222" t="s">
        <v>74</v>
      </c>
      <c r="AR222" t="s">
        <v>3337</v>
      </c>
      <c r="AS222" t="s">
        <v>3338</v>
      </c>
      <c r="AT222" t="s">
        <v>74</v>
      </c>
      <c r="AU222">
        <v>2008</v>
      </c>
      <c r="AV222">
        <v>55</v>
      </c>
      <c r="AW222" t="s">
        <v>3749</v>
      </c>
      <c r="AX222" t="s">
        <v>74</v>
      </c>
      <c r="AY222" t="s">
        <v>74</v>
      </c>
      <c r="AZ222" t="s">
        <v>74</v>
      </c>
      <c r="BA222" t="s">
        <v>74</v>
      </c>
      <c r="BB222">
        <v>1015</v>
      </c>
      <c r="BC222">
        <v>1023</v>
      </c>
      <c r="BD222" t="s">
        <v>74</v>
      </c>
      <c r="BE222" t="s">
        <v>3820</v>
      </c>
      <c r="BF222" t="str">
        <f>HYPERLINK("http://dx.doi.org/10.1016/j.dsr2.2007.12.018","http://dx.doi.org/10.1016/j.dsr2.2007.12.018")</f>
        <v>http://dx.doi.org/10.1016/j.dsr2.2007.12.018</v>
      </c>
      <c r="BG222" t="s">
        <v>74</v>
      </c>
      <c r="BH222" t="s">
        <v>74</v>
      </c>
      <c r="BI222">
        <v>9</v>
      </c>
      <c r="BJ222" t="s">
        <v>630</v>
      </c>
      <c r="BK222" t="s">
        <v>97</v>
      </c>
      <c r="BL222" t="s">
        <v>630</v>
      </c>
      <c r="BM222" t="s">
        <v>3751</v>
      </c>
      <c r="BN222" t="s">
        <v>74</v>
      </c>
      <c r="BO222" t="s">
        <v>74</v>
      </c>
      <c r="BP222" t="s">
        <v>74</v>
      </c>
      <c r="BQ222" t="s">
        <v>74</v>
      </c>
      <c r="BR222" t="s">
        <v>100</v>
      </c>
      <c r="BS222" t="s">
        <v>3821</v>
      </c>
      <c r="BT222" t="str">
        <f>HYPERLINK("https%3A%2F%2Fwww.webofscience.com%2Fwos%2Fwoscc%2Ffull-record%2FWOS:000257303200009","View Full Record in Web of Science")</f>
        <v>View Full Record in Web of Science</v>
      </c>
    </row>
    <row r="223" spans="1:72" x14ac:dyDescent="0.15">
      <c r="A223" t="s">
        <v>72</v>
      </c>
      <c r="B223" t="s">
        <v>3822</v>
      </c>
      <c r="C223" t="s">
        <v>74</v>
      </c>
      <c r="D223" t="s">
        <v>74</v>
      </c>
      <c r="E223" t="s">
        <v>74</v>
      </c>
      <c r="F223" t="s">
        <v>3823</v>
      </c>
      <c r="G223" t="s">
        <v>74</v>
      </c>
      <c r="H223" t="s">
        <v>74</v>
      </c>
      <c r="I223" t="s">
        <v>3824</v>
      </c>
      <c r="J223" t="s">
        <v>3324</v>
      </c>
      <c r="K223" t="s">
        <v>74</v>
      </c>
      <c r="L223" t="s">
        <v>74</v>
      </c>
      <c r="M223" t="s">
        <v>78</v>
      </c>
      <c r="N223" t="s">
        <v>79</v>
      </c>
      <c r="O223" t="s">
        <v>74</v>
      </c>
      <c r="P223" t="s">
        <v>74</v>
      </c>
      <c r="Q223" t="s">
        <v>74</v>
      </c>
      <c r="R223" t="s">
        <v>74</v>
      </c>
      <c r="S223" t="s">
        <v>74</v>
      </c>
      <c r="T223" t="s">
        <v>3825</v>
      </c>
      <c r="U223" t="s">
        <v>3826</v>
      </c>
      <c r="V223" t="s">
        <v>3827</v>
      </c>
      <c r="W223" t="s">
        <v>3828</v>
      </c>
      <c r="X223" t="s">
        <v>3829</v>
      </c>
      <c r="Y223" t="s">
        <v>3830</v>
      </c>
      <c r="Z223" t="s">
        <v>3831</v>
      </c>
      <c r="AA223" t="s">
        <v>3832</v>
      </c>
      <c r="AB223" t="s">
        <v>3833</v>
      </c>
      <c r="AC223" t="s">
        <v>3805</v>
      </c>
      <c r="AD223" t="s">
        <v>116</v>
      </c>
      <c r="AE223" t="s">
        <v>74</v>
      </c>
      <c r="AF223" t="s">
        <v>74</v>
      </c>
      <c r="AG223">
        <v>65</v>
      </c>
      <c r="AH223">
        <v>15</v>
      </c>
      <c r="AI223">
        <v>17</v>
      </c>
      <c r="AJ223">
        <v>0</v>
      </c>
      <c r="AK223">
        <v>22</v>
      </c>
      <c r="AL223" t="s">
        <v>521</v>
      </c>
      <c r="AM223" t="s">
        <v>522</v>
      </c>
      <c r="AN223" t="s">
        <v>523</v>
      </c>
      <c r="AO223" t="s">
        <v>3335</v>
      </c>
      <c r="AP223" t="s">
        <v>74</v>
      </c>
      <c r="AQ223" t="s">
        <v>74</v>
      </c>
      <c r="AR223" t="s">
        <v>3337</v>
      </c>
      <c r="AS223" t="s">
        <v>3338</v>
      </c>
      <c r="AT223" t="s">
        <v>74</v>
      </c>
      <c r="AU223">
        <v>2008</v>
      </c>
      <c r="AV223">
        <v>55</v>
      </c>
      <c r="AW223" t="s">
        <v>3749</v>
      </c>
      <c r="AX223" t="s">
        <v>74</v>
      </c>
      <c r="AY223" t="s">
        <v>74</v>
      </c>
      <c r="AZ223" t="s">
        <v>74</v>
      </c>
      <c r="BA223" t="s">
        <v>74</v>
      </c>
      <c r="BB223">
        <v>1024</v>
      </c>
      <c r="BC223">
        <v>1039</v>
      </c>
      <c r="BD223" t="s">
        <v>74</v>
      </c>
      <c r="BE223" t="s">
        <v>3834</v>
      </c>
      <c r="BF223" t="str">
        <f>HYPERLINK("http://dx.doi.org/10.1016/j.dsr2.2007.12.019","http://dx.doi.org/10.1016/j.dsr2.2007.12.019")</f>
        <v>http://dx.doi.org/10.1016/j.dsr2.2007.12.019</v>
      </c>
      <c r="BG223" t="s">
        <v>74</v>
      </c>
      <c r="BH223" t="s">
        <v>74</v>
      </c>
      <c r="BI223">
        <v>16</v>
      </c>
      <c r="BJ223" t="s">
        <v>630</v>
      </c>
      <c r="BK223" t="s">
        <v>97</v>
      </c>
      <c r="BL223" t="s">
        <v>630</v>
      </c>
      <c r="BM223" t="s">
        <v>3751</v>
      </c>
      <c r="BN223" t="s">
        <v>74</v>
      </c>
      <c r="BO223" t="s">
        <v>74</v>
      </c>
      <c r="BP223" t="s">
        <v>74</v>
      </c>
      <c r="BQ223" t="s">
        <v>74</v>
      </c>
      <c r="BR223" t="s">
        <v>100</v>
      </c>
      <c r="BS223" t="s">
        <v>3835</v>
      </c>
      <c r="BT223" t="str">
        <f>HYPERLINK("https%3A%2F%2Fwww.webofscience.com%2Fwos%2Fwoscc%2Ffull-record%2FWOS:000257303200010","View Full Record in Web of Science")</f>
        <v>View Full Record in Web of Science</v>
      </c>
    </row>
    <row r="224" spans="1:72" x14ac:dyDescent="0.15">
      <c r="A224" t="s">
        <v>72</v>
      </c>
      <c r="B224" t="s">
        <v>3836</v>
      </c>
      <c r="C224" t="s">
        <v>74</v>
      </c>
      <c r="D224" t="s">
        <v>74</v>
      </c>
      <c r="E224" t="s">
        <v>74</v>
      </c>
      <c r="F224" t="s">
        <v>3837</v>
      </c>
      <c r="G224" t="s">
        <v>74</v>
      </c>
      <c r="H224" t="s">
        <v>74</v>
      </c>
      <c r="I224" t="s">
        <v>3838</v>
      </c>
      <c r="J224" t="s">
        <v>3324</v>
      </c>
      <c r="K224" t="s">
        <v>74</v>
      </c>
      <c r="L224" t="s">
        <v>74</v>
      </c>
      <c r="M224" t="s">
        <v>78</v>
      </c>
      <c r="N224" t="s">
        <v>79</v>
      </c>
      <c r="O224" t="s">
        <v>74</v>
      </c>
      <c r="P224" t="s">
        <v>74</v>
      </c>
      <c r="Q224" t="s">
        <v>74</v>
      </c>
      <c r="R224" t="s">
        <v>74</v>
      </c>
      <c r="S224" t="s">
        <v>74</v>
      </c>
      <c r="T224" t="s">
        <v>3839</v>
      </c>
      <c r="U224" t="s">
        <v>3840</v>
      </c>
      <c r="V224" t="s">
        <v>3841</v>
      </c>
      <c r="W224" t="s">
        <v>3842</v>
      </c>
      <c r="X224" t="s">
        <v>2003</v>
      </c>
      <c r="Y224" t="s">
        <v>3843</v>
      </c>
      <c r="Z224" t="s">
        <v>3844</v>
      </c>
      <c r="AA224" t="s">
        <v>3845</v>
      </c>
      <c r="AB224" t="s">
        <v>74</v>
      </c>
      <c r="AC224" t="s">
        <v>74</v>
      </c>
      <c r="AD224" t="s">
        <v>74</v>
      </c>
      <c r="AE224" t="s">
        <v>74</v>
      </c>
      <c r="AF224" t="s">
        <v>74</v>
      </c>
      <c r="AG224">
        <v>52</v>
      </c>
      <c r="AH224">
        <v>20</v>
      </c>
      <c r="AI224">
        <v>21</v>
      </c>
      <c r="AJ224">
        <v>0</v>
      </c>
      <c r="AK224">
        <v>14</v>
      </c>
      <c r="AL224" t="s">
        <v>521</v>
      </c>
      <c r="AM224" t="s">
        <v>522</v>
      </c>
      <c r="AN224" t="s">
        <v>523</v>
      </c>
      <c r="AO224" t="s">
        <v>3335</v>
      </c>
      <c r="AP224" t="s">
        <v>74</v>
      </c>
      <c r="AQ224" t="s">
        <v>74</v>
      </c>
      <c r="AR224" t="s">
        <v>3337</v>
      </c>
      <c r="AS224" t="s">
        <v>3338</v>
      </c>
      <c r="AT224" t="s">
        <v>74</v>
      </c>
      <c r="AU224">
        <v>2008</v>
      </c>
      <c r="AV224">
        <v>55</v>
      </c>
      <c r="AW224" t="s">
        <v>3749</v>
      </c>
      <c r="AX224" t="s">
        <v>74</v>
      </c>
      <c r="AY224" t="s">
        <v>74</v>
      </c>
      <c r="AZ224" t="s">
        <v>74</v>
      </c>
      <c r="BA224" t="s">
        <v>74</v>
      </c>
      <c r="BB224">
        <v>1040</v>
      </c>
      <c r="BC224">
        <v>1055</v>
      </c>
      <c r="BD224" t="s">
        <v>74</v>
      </c>
      <c r="BE224" t="s">
        <v>3846</v>
      </c>
      <c r="BF224" t="str">
        <f>HYPERLINK("http://dx.doi.org/10.1016/j.dsr2.2007.12.013","http://dx.doi.org/10.1016/j.dsr2.2007.12.013")</f>
        <v>http://dx.doi.org/10.1016/j.dsr2.2007.12.013</v>
      </c>
      <c r="BG224" t="s">
        <v>74</v>
      </c>
      <c r="BH224" t="s">
        <v>74</v>
      </c>
      <c r="BI224">
        <v>16</v>
      </c>
      <c r="BJ224" t="s">
        <v>630</v>
      </c>
      <c r="BK224" t="s">
        <v>97</v>
      </c>
      <c r="BL224" t="s">
        <v>630</v>
      </c>
      <c r="BM224" t="s">
        <v>3751</v>
      </c>
      <c r="BN224" t="s">
        <v>74</v>
      </c>
      <c r="BO224" t="s">
        <v>74</v>
      </c>
      <c r="BP224" t="s">
        <v>74</v>
      </c>
      <c r="BQ224" t="s">
        <v>74</v>
      </c>
      <c r="BR224" t="s">
        <v>100</v>
      </c>
      <c r="BS224" t="s">
        <v>3847</v>
      </c>
      <c r="BT224" t="str">
        <f>HYPERLINK("https%3A%2F%2Fwww.webofscience.com%2Fwos%2Fwoscc%2Ffull-record%2FWOS:000257303200011","View Full Record in Web of Science")</f>
        <v>View Full Record in Web of Science</v>
      </c>
    </row>
    <row r="225" spans="1:72" x14ac:dyDescent="0.15">
      <c r="A225" t="s">
        <v>72</v>
      </c>
      <c r="B225" t="s">
        <v>3848</v>
      </c>
      <c r="C225" t="s">
        <v>74</v>
      </c>
      <c r="D225" t="s">
        <v>74</v>
      </c>
      <c r="E225" t="s">
        <v>74</v>
      </c>
      <c r="F225" t="s">
        <v>3849</v>
      </c>
      <c r="G225" t="s">
        <v>74</v>
      </c>
      <c r="H225" t="s">
        <v>74</v>
      </c>
      <c r="I225" t="s">
        <v>3850</v>
      </c>
      <c r="J225" t="s">
        <v>3324</v>
      </c>
      <c r="K225" t="s">
        <v>74</v>
      </c>
      <c r="L225" t="s">
        <v>74</v>
      </c>
      <c r="M225" t="s">
        <v>78</v>
      </c>
      <c r="N225" t="s">
        <v>79</v>
      </c>
      <c r="O225" t="s">
        <v>74</v>
      </c>
      <c r="P225" t="s">
        <v>74</v>
      </c>
      <c r="Q225" t="s">
        <v>74</v>
      </c>
      <c r="R225" t="s">
        <v>74</v>
      </c>
      <c r="S225" t="s">
        <v>74</v>
      </c>
      <c r="T225" t="s">
        <v>3851</v>
      </c>
      <c r="U225" t="s">
        <v>3852</v>
      </c>
      <c r="V225" t="s">
        <v>3853</v>
      </c>
      <c r="W225" t="s">
        <v>3854</v>
      </c>
      <c r="X225" t="s">
        <v>3855</v>
      </c>
      <c r="Y225" t="s">
        <v>3856</v>
      </c>
      <c r="Z225" t="s">
        <v>3857</v>
      </c>
      <c r="AA225" t="s">
        <v>3858</v>
      </c>
      <c r="AB225" t="s">
        <v>3859</v>
      </c>
      <c r="AC225" t="s">
        <v>74</v>
      </c>
      <c r="AD225" t="s">
        <v>74</v>
      </c>
      <c r="AE225" t="s">
        <v>74</v>
      </c>
      <c r="AF225" t="s">
        <v>74</v>
      </c>
      <c r="AG225">
        <v>47</v>
      </c>
      <c r="AH225">
        <v>11</v>
      </c>
      <c r="AI225">
        <v>13</v>
      </c>
      <c r="AJ225">
        <v>0</v>
      </c>
      <c r="AK225">
        <v>43</v>
      </c>
      <c r="AL225" t="s">
        <v>521</v>
      </c>
      <c r="AM225" t="s">
        <v>522</v>
      </c>
      <c r="AN225" t="s">
        <v>523</v>
      </c>
      <c r="AO225" t="s">
        <v>3335</v>
      </c>
      <c r="AP225" t="s">
        <v>3336</v>
      </c>
      <c r="AQ225" t="s">
        <v>74</v>
      </c>
      <c r="AR225" t="s">
        <v>3337</v>
      </c>
      <c r="AS225" t="s">
        <v>3338</v>
      </c>
      <c r="AT225" t="s">
        <v>74</v>
      </c>
      <c r="AU225">
        <v>2008</v>
      </c>
      <c r="AV225">
        <v>55</v>
      </c>
      <c r="AW225" t="s">
        <v>3749</v>
      </c>
      <c r="AX225" t="s">
        <v>74</v>
      </c>
      <c r="AY225" t="s">
        <v>74</v>
      </c>
      <c r="AZ225" t="s">
        <v>74</v>
      </c>
      <c r="BA225" t="s">
        <v>74</v>
      </c>
      <c r="BB225">
        <v>1068</v>
      </c>
      <c r="BC225">
        <v>1074</v>
      </c>
      <c r="BD225" t="s">
        <v>74</v>
      </c>
      <c r="BE225" t="s">
        <v>3860</v>
      </c>
      <c r="BF225" t="str">
        <f>HYPERLINK("http://dx.doi.org/10.1016/j.dsr2.2007.12.024","http://dx.doi.org/10.1016/j.dsr2.2007.12.024")</f>
        <v>http://dx.doi.org/10.1016/j.dsr2.2007.12.024</v>
      </c>
      <c r="BG225" t="s">
        <v>74</v>
      </c>
      <c r="BH225" t="s">
        <v>74</v>
      </c>
      <c r="BI225">
        <v>7</v>
      </c>
      <c r="BJ225" t="s">
        <v>630</v>
      </c>
      <c r="BK225" t="s">
        <v>97</v>
      </c>
      <c r="BL225" t="s">
        <v>630</v>
      </c>
      <c r="BM225" t="s">
        <v>3751</v>
      </c>
      <c r="BN225" t="s">
        <v>74</v>
      </c>
      <c r="BO225" t="s">
        <v>3777</v>
      </c>
      <c r="BP225" t="s">
        <v>74</v>
      </c>
      <c r="BQ225" t="s">
        <v>74</v>
      </c>
      <c r="BR225" t="s">
        <v>100</v>
      </c>
      <c r="BS225" t="s">
        <v>3861</v>
      </c>
      <c r="BT225" t="str">
        <f>HYPERLINK("https%3A%2F%2Fwww.webofscience.com%2Fwos%2Fwoscc%2Ffull-record%2FWOS:000257303200013","View Full Record in Web of Science")</f>
        <v>View Full Record in Web of Science</v>
      </c>
    </row>
    <row r="226" spans="1:72" x14ac:dyDescent="0.15">
      <c r="A226" t="s">
        <v>72</v>
      </c>
      <c r="B226" t="s">
        <v>3862</v>
      </c>
      <c r="C226" t="s">
        <v>74</v>
      </c>
      <c r="D226" t="s">
        <v>74</v>
      </c>
      <c r="E226" t="s">
        <v>74</v>
      </c>
      <c r="F226" t="s">
        <v>3863</v>
      </c>
      <c r="G226" t="s">
        <v>74</v>
      </c>
      <c r="H226" t="s">
        <v>74</v>
      </c>
      <c r="I226" t="s">
        <v>3864</v>
      </c>
      <c r="J226" t="s">
        <v>3324</v>
      </c>
      <c r="K226" t="s">
        <v>74</v>
      </c>
      <c r="L226" t="s">
        <v>74</v>
      </c>
      <c r="M226" t="s">
        <v>78</v>
      </c>
      <c r="N226" t="s">
        <v>79</v>
      </c>
      <c r="O226" t="s">
        <v>74</v>
      </c>
      <c r="P226" t="s">
        <v>74</v>
      </c>
      <c r="Q226" t="s">
        <v>74</v>
      </c>
      <c r="R226" t="s">
        <v>74</v>
      </c>
      <c r="S226" t="s">
        <v>74</v>
      </c>
      <c r="T226" t="s">
        <v>3865</v>
      </c>
      <c r="U226" t="s">
        <v>3866</v>
      </c>
      <c r="V226" t="s">
        <v>3867</v>
      </c>
      <c r="W226" t="s">
        <v>3868</v>
      </c>
      <c r="X226" t="s">
        <v>3869</v>
      </c>
      <c r="Y226" t="s">
        <v>3870</v>
      </c>
      <c r="Z226" t="s">
        <v>3871</v>
      </c>
      <c r="AA226" t="s">
        <v>3872</v>
      </c>
      <c r="AB226" t="s">
        <v>3873</v>
      </c>
      <c r="AC226" t="s">
        <v>74</v>
      </c>
      <c r="AD226" t="s">
        <v>74</v>
      </c>
      <c r="AE226" t="s">
        <v>74</v>
      </c>
      <c r="AF226" t="s">
        <v>74</v>
      </c>
      <c r="AG226">
        <v>54</v>
      </c>
      <c r="AH226">
        <v>69</v>
      </c>
      <c r="AI226">
        <v>78</v>
      </c>
      <c r="AJ226">
        <v>0</v>
      </c>
      <c r="AK226">
        <v>30</v>
      </c>
      <c r="AL226" t="s">
        <v>521</v>
      </c>
      <c r="AM226" t="s">
        <v>522</v>
      </c>
      <c r="AN226" t="s">
        <v>523</v>
      </c>
      <c r="AO226" t="s">
        <v>3335</v>
      </c>
      <c r="AP226" t="s">
        <v>74</v>
      </c>
      <c r="AQ226" t="s">
        <v>74</v>
      </c>
      <c r="AR226" t="s">
        <v>3337</v>
      </c>
      <c r="AS226" t="s">
        <v>3338</v>
      </c>
      <c r="AT226" t="s">
        <v>74</v>
      </c>
      <c r="AU226">
        <v>2008</v>
      </c>
      <c r="AV226">
        <v>55</v>
      </c>
      <c r="AW226" t="s">
        <v>3749</v>
      </c>
      <c r="AX226" t="s">
        <v>74</v>
      </c>
      <c r="AY226" t="s">
        <v>74</v>
      </c>
      <c r="AZ226" t="s">
        <v>74</v>
      </c>
      <c r="BA226" t="s">
        <v>74</v>
      </c>
      <c r="BB226">
        <v>1098</v>
      </c>
      <c r="BC226">
        <v>1116</v>
      </c>
      <c r="BD226" t="s">
        <v>74</v>
      </c>
      <c r="BE226" t="s">
        <v>3874</v>
      </c>
      <c r="BF226" t="str">
        <f>HYPERLINK("http://dx.doi.org/10.1016/j.dsr2.2007.12.015","http://dx.doi.org/10.1016/j.dsr2.2007.12.015")</f>
        <v>http://dx.doi.org/10.1016/j.dsr2.2007.12.015</v>
      </c>
      <c r="BG226" t="s">
        <v>74</v>
      </c>
      <c r="BH226" t="s">
        <v>74</v>
      </c>
      <c r="BI226">
        <v>19</v>
      </c>
      <c r="BJ226" t="s">
        <v>630</v>
      </c>
      <c r="BK226" t="s">
        <v>97</v>
      </c>
      <c r="BL226" t="s">
        <v>630</v>
      </c>
      <c r="BM226" t="s">
        <v>3751</v>
      </c>
      <c r="BN226" t="s">
        <v>74</v>
      </c>
      <c r="BO226" t="s">
        <v>1050</v>
      </c>
      <c r="BP226" t="s">
        <v>74</v>
      </c>
      <c r="BQ226" t="s">
        <v>74</v>
      </c>
      <c r="BR226" t="s">
        <v>100</v>
      </c>
      <c r="BS226" t="s">
        <v>3875</v>
      </c>
      <c r="BT226" t="str">
        <f>HYPERLINK("https%3A%2F%2Fwww.webofscience.com%2Fwos%2Fwoscc%2Ffull-record%2FWOS:000257303200015","View Full Record in Web of Science")</f>
        <v>View Full Record in Web of Science</v>
      </c>
    </row>
    <row r="227" spans="1:72" x14ac:dyDescent="0.15">
      <c r="A227" t="s">
        <v>72</v>
      </c>
      <c r="B227" t="s">
        <v>3876</v>
      </c>
      <c r="C227" t="s">
        <v>74</v>
      </c>
      <c r="D227" t="s">
        <v>74</v>
      </c>
      <c r="E227" t="s">
        <v>74</v>
      </c>
      <c r="F227" t="s">
        <v>3877</v>
      </c>
      <c r="G227" t="s">
        <v>74</v>
      </c>
      <c r="H227" t="s">
        <v>74</v>
      </c>
      <c r="I227" t="s">
        <v>3878</v>
      </c>
      <c r="J227" t="s">
        <v>3324</v>
      </c>
      <c r="K227" t="s">
        <v>74</v>
      </c>
      <c r="L227" t="s">
        <v>74</v>
      </c>
      <c r="M227" t="s">
        <v>78</v>
      </c>
      <c r="N227" t="s">
        <v>79</v>
      </c>
      <c r="O227" t="s">
        <v>74</v>
      </c>
      <c r="P227" t="s">
        <v>74</v>
      </c>
      <c r="Q227" t="s">
        <v>74</v>
      </c>
      <c r="R227" t="s">
        <v>74</v>
      </c>
      <c r="S227" t="s">
        <v>74</v>
      </c>
      <c r="T227" t="s">
        <v>3879</v>
      </c>
      <c r="U227" t="s">
        <v>3880</v>
      </c>
      <c r="V227" t="s">
        <v>3881</v>
      </c>
      <c r="W227" t="s">
        <v>3882</v>
      </c>
      <c r="X227" t="s">
        <v>2003</v>
      </c>
      <c r="Y227" t="s">
        <v>3883</v>
      </c>
      <c r="Z227" t="s">
        <v>3884</v>
      </c>
      <c r="AA227" t="s">
        <v>74</v>
      </c>
      <c r="AB227" t="s">
        <v>3885</v>
      </c>
      <c r="AC227" t="s">
        <v>74</v>
      </c>
      <c r="AD227" t="s">
        <v>74</v>
      </c>
      <c r="AE227" t="s">
        <v>74</v>
      </c>
      <c r="AF227" t="s">
        <v>74</v>
      </c>
      <c r="AG227">
        <v>40</v>
      </c>
      <c r="AH227">
        <v>16</v>
      </c>
      <c r="AI227">
        <v>17</v>
      </c>
      <c r="AJ227">
        <v>0</v>
      </c>
      <c r="AK227">
        <v>3</v>
      </c>
      <c r="AL227" t="s">
        <v>521</v>
      </c>
      <c r="AM227" t="s">
        <v>522</v>
      </c>
      <c r="AN227" t="s">
        <v>523</v>
      </c>
      <c r="AO227" t="s">
        <v>3335</v>
      </c>
      <c r="AP227" t="s">
        <v>74</v>
      </c>
      <c r="AQ227" t="s">
        <v>74</v>
      </c>
      <c r="AR227" t="s">
        <v>3337</v>
      </c>
      <c r="AS227" t="s">
        <v>3338</v>
      </c>
      <c r="AT227" t="s">
        <v>74</v>
      </c>
      <c r="AU227">
        <v>2008</v>
      </c>
      <c r="AV227">
        <v>55</v>
      </c>
      <c r="AW227" t="s">
        <v>3749</v>
      </c>
      <c r="AX227" t="s">
        <v>74</v>
      </c>
      <c r="AY227" t="s">
        <v>74</v>
      </c>
      <c r="AZ227" t="s">
        <v>74</v>
      </c>
      <c r="BA227" t="s">
        <v>74</v>
      </c>
      <c r="BB227">
        <v>1117</v>
      </c>
      <c r="BC227">
        <v>1131</v>
      </c>
      <c r="BD227" t="s">
        <v>74</v>
      </c>
      <c r="BE227" t="s">
        <v>3886</v>
      </c>
      <c r="BF227" t="str">
        <f>HYPERLINK("http://dx.doi.org/10.1016/j.dsr2.2007.12.023","http://dx.doi.org/10.1016/j.dsr2.2007.12.023")</f>
        <v>http://dx.doi.org/10.1016/j.dsr2.2007.12.023</v>
      </c>
      <c r="BG227" t="s">
        <v>74</v>
      </c>
      <c r="BH227" t="s">
        <v>74</v>
      </c>
      <c r="BI227">
        <v>15</v>
      </c>
      <c r="BJ227" t="s">
        <v>630</v>
      </c>
      <c r="BK227" t="s">
        <v>97</v>
      </c>
      <c r="BL227" t="s">
        <v>630</v>
      </c>
      <c r="BM227" t="s">
        <v>3751</v>
      </c>
      <c r="BN227" t="s">
        <v>74</v>
      </c>
      <c r="BO227" t="s">
        <v>74</v>
      </c>
      <c r="BP227" t="s">
        <v>74</v>
      </c>
      <c r="BQ227" t="s">
        <v>74</v>
      </c>
      <c r="BR227" t="s">
        <v>100</v>
      </c>
      <c r="BS227" t="s">
        <v>3887</v>
      </c>
      <c r="BT227" t="str">
        <f>HYPERLINK("https%3A%2F%2Fwww.webofscience.com%2Fwos%2Fwoscc%2Ffull-record%2FWOS:000257303200016","View Full Record in Web of Science")</f>
        <v>View Full Record in Web of Science</v>
      </c>
    </row>
    <row r="228" spans="1:72" x14ac:dyDescent="0.15">
      <c r="A228" t="s">
        <v>72</v>
      </c>
      <c r="B228" t="s">
        <v>3888</v>
      </c>
      <c r="C228" t="s">
        <v>74</v>
      </c>
      <c r="D228" t="s">
        <v>74</v>
      </c>
      <c r="E228" t="s">
        <v>74</v>
      </c>
      <c r="F228" t="s">
        <v>3889</v>
      </c>
      <c r="G228" t="s">
        <v>74</v>
      </c>
      <c r="H228" t="s">
        <v>74</v>
      </c>
      <c r="I228" t="s">
        <v>3890</v>
      </c>
      <c r="J228" t="s">
        <v>3891</v>
      </c>
      <c r="K228" t="s">
        <v>74</v>
      </c>
      <c r="L228" t="s">
        <v>74</v>
      </c>
      <c r="M228" t="s">
        <v>78</v>
      </c>
      <c r="N228" t="s">
        <v>79</v>
      </c>
      <c r="O228" t="s">
        <v>74</v>
      </c>
      <c r="P228" t="s">
        <v>74</v>
      </c>
      <c r="Q228" t="s">
        <v>74</v>
      </c>
      <c r="R228" t="s">
        <v>74</v>
      </c>
      <c r="S228" t="s">
        <v>74</v>
      </c>
      <c r="T228" t="s">
        <v>3892</v>
      </c>
      <c r="U228" t="s">
        <v>3893</v>
      </c>
      <c r="V228" t="s">
        <v>3894</v>
      </c>
      <c r="W228" t="s">
        <v>3895</v>
      </c>
      <c r="X228" t="s">
        <v>3896</v>
      </c>
      <c r="Y228" t="s">
        <v>3897</v>
      </c>
      <c r="Z228" t="s">
        <v>3898</v>
      </c>
      <c r="AA228" t="s">
        <v>3899</v>
      </c>
      <c r="AB228" t="s">
        <v>3900</v>
      </c>
      <c r="AC228" t="s">
        <v>3901</v>
      </c>
      <c r="AD228" t="s">
        <v>3901</v>
      </c>
      <c r="AE228" t="s">
        <v>3902</v>
      </c>
      <c r="AF228" t="s">
        <v>74</v>
      </c>
      <c r="AG228">
        <v>37</v>
      </c>
      <c r="AH228">
        <v>11</v>
      </c>
      <c r="AI228">
        <v>11</v>
      </c>
      <c r="AJ228">
        <v>0</v>
      </c>
      <c r="AK228">
        <v>8</v>
      </c>
      <c r="AL228" t="s">
        <v>2556</v>
      </c>
      <c r="AM228" t="s">
        <v>1467</v>
      </c>
      <c r="AN228" t="s">
        <v>2557</v>
      </c>
      <c r="AO228" t="s">
        <v>3903</v>
      </c>
      <c r="AP228" t="s">
        <v>3904</v>
      </c>
      <c r="AQ228" t="s">
        <v>74</v>
      </c>
      <c r="AR228" t="s">
        <v>3905</v>
      </c>
      <c r="AS228" t="s">
        <v>3906</v>
      </c>
      <c r="AT228" t="s">
        <v>74</v>
      </c>
      <c r="AU228">
        <v>2008</v>
      </c>
      <c r="AV228">
        <v>98</v>
      </c>
      <c r="AW228" t="s">
        <v>74</v>
      </c>
      <c r="AX228" t="s">
        <v>489</v>
      </c>
      <c r="AY228" t="s">
        <v>74</v>
      </c>
      <c r="AZ228" t="s">
        <v>74</v>
      </c>
      <c r="BA228" t="s">
        <v>74</v>
      </c>
      <c r="BB228">
        <v>425</v>
      </c>
      <c r="BC228">
        <v>435</v>
      </c>
      <c r="BD228" t="s">
        <v>74</v>
      </c>
      <c r="BE228" t="s">
        <v>3907</v>
      </c>
      <c r="BF228" t="str">
        <f>HYPERLINK("http://dx.doi.org/10.1017/S1755691008075142","http://dx.doi.org/10.1017/S1755691008075142")</f>
        <v>http://dx.doi.org/10.1017/S1755691008075142</v>
      </c>
      <c r="BG228" t="s">
        <v>74</v>
      </c>
      <c r="BH228" t="s">
        <v>74</v>
      </c>
      <c r="BI228">
        <v>11</v>
      </c>
      <c r="BJ228" t="s">
        <v>3908</v>
      </c>
      <c r="BK228" t="s">
        <v>97</v>
      </c>
      <c r="BL228" t="s">
        <v>3909</v>
      </c>
      <c r="BM228" t="s">
        <v>3910</v>
      </c>
      <c r="BN228" t="s">
        <v>74</v>
      </c>
      <c r="BO228" t="s">
        <v>74</v>
      </c>
      <c r="BP228" t="s">
        <v>74</v>
      </c>
      <c r="BQ228" t="s">
        <v>74</v>
      </c>
      <c r="BR228" t="s">
        <v>100</v>
      </c>
      <c r="BS228" t="s">
        <v>3911</v>
      </c>
      <c r="BT228" t="str">
        <f>HYPERLINK("https%3A%2F%2Fwww.webofscience.com%2Fwos%2Fwoscc%2Ffull-record%2FWOS:000259046200021","View Full Record in Web of Science")</f>
        <v>View Full Record in Web of Science</v>
      </c>
    </row>
    <row r="229" spans="1:72" x14ac:dyDescent="0.15">
      <c r="A229" t="s">
        <v>72</v>
      </c>
      <c r="B229" t="s">
        <v>3912</v>
      </c>
      <c r="C229" t="s">
        <v>74</v>
      </c>
      <c r="D229" t="s">
        <v>74</v>
      </c>
      <c r="E229" t="s">
        <v>74</v>
      </c>
      <c r="F229" t="s">
        <v>3913</v>
      </c>
      <c r="G229" t="s">
        <v>74</v>
      </c>
      <c r="H229" t="s">
        <v>74</v>
      </c>
      <c r="I229" t="s">
        <v>3914</v>
      </c>
      <c r="J229" t="s">
        <v>3891</v>
      </c>
      <c r="K229" t="s">
        <v>74</v>
      </c>
      <c r="L229" t="s">
        <v>74</v>
      </c>
      <c r="M229" t="s">
        <v>78</v>
      </c>
      <c r="N229" t="s">
        <v>79</v>
      </c>
      <c r="O229" t="s">
        <v>74</v>
      </c>
      <c r="P229" t="s">
        <v>74</v>
      </c>
      <c r="Q229" t="s">
        <v>74</v>
      </c>
      <c r="R229" t="s">
        <v>74</v>
      </c>
      <c r="S229" t="s">
        <v>74</v>
      </c>
      <c r="T229" t="s">
        <v>3915</v>
      </c>
      <c r="U229" t="s">
        <v>3916</v>
      </c>
      <c r="V229" t="s">
        <v>3917</v>
      </c>
      <c r="W229" t="s">
        <v>3918</v>
      </c>
      <c r="X229" t="s">
        <v>440</v>
      </c>
      <c r="Y229" t="s">
        <v>3919</v>
      </c>
      <c r="Z229" t="s">
        <v>74</v>
      </c>
      <c r="AA229" t="s">
        <v>74</v>
      </c>
      <c r="AB229" t="s">
        <v>74</v>
      </c>
      <c r="AC229" t="s">
        <v>3920</v>
      </c>
      <c r="AD229" t="s">
        <v>242</v>
      </c>
      <c r="AE229" t="s">
        <v>74</v>
      </c>
      <c r="AF229" t="s">
        <v>74</v>
      </c>
      <c r="AG229">
        <v>45</v>
      </c>
      <c r="AH229">
        <v>26</v>
      </c>
      <c r="AI229">
        <v>28</v>
      </c>
      <c r="AJ229">
        <v>0</v>
      </c>
      <c r="AK229">
        <v>15</v>
      </c>
      <c r="AL229" t="s">
        <v>2556</v>
      </c>
      <c r="AM229" t="s">
        <v>1467</v>
      </c>
      <c r="AN229" t="s">
        <v>2557</v>
      </c>
      <c r="AO229" t="s">
        <v>3903</v>
      </c>
      <c r="AP229" t="s">
        <v>3904</v>
      </c>
      <c r="AQ229" t="s">
        <v>74</v>
      </c>
      <c r="AR229" t="s">
        <v>3905</v>
      </c>
      <c r="AS229" t="s">
        <v>3906</v>
      </c>
      <c r="AT229" t="s">
        <v>74</v>
      </c>
      <c r="AU229">
        <v>2008</v>
      </c>
      <c r="AV229">
        <v>98</v>
      </c>
      <c r="AW229" t="s">
        <v>74</v>
      </c>
      <c r="AX229" t="s">
        <v>489</v>
      </c>
      <c r="AY229" t="s">
        <v>74</v>
      </c>
      <c r="AZ229" t="s">
        <v>74</v>
      </c>
      <c r="BA229" t="s">
        <v>74</v>
      </c>
      <c r="BB229">
        <v>451</v>
      </c>
      <c r="BC229">
        <v>456</v>
      </c>
      <c r="BD229" t="s">
        <v>74</v>
      </c>
      <c r="BE229" t="s">
        <v>3921</v>
      </c>
      <c r="BF229" t="str">
        <f>HYPERLINK("http://dx.doi.org/10.1017/S1755691007079819","http://dx.doi.org/10.1017/S1755691007079819")</f>
        <v>http://dx.doi.org/10.1017/S1755691007079819</v>
      </c>
      <c r="BG229" t="s">
        <v>74</v>
      </c>
      <c r="BH229" t="s">
        <v>74</v>
      </c>
      <c r="BI229">
        <v>6</v>
      </c>
      <c r="BJ229" t="s">
        <v>3908</v>
      </c>
      <c r="BK229" t="s">
        <v>97</v>
      </c>
      <c r="BL229" t="s">
        <v>3909</v>
      </c>
      <c r="BM229" t="s">
        <v>3910</v>
      </c>
      <c r="BN229" t="s">
        <v>74</v>
      </c>
      <c r="BO229" t="s">
        <v>74</v>
      </c>
      <c r="BP229" t="s">
        <v>74</v>
      </c>
      <c r="BQ229" t="s">
        <v>74</v>
      </c>
      <c r="BR229" t="s">
        <v>100</v>
      </c>
      <c r="BS229" t="s">
        <v>3922</v>
      </c>
      <c r="BT229" t="str">
        <f>HYPERLINK("https%3A%2F%2Fwww.webofscience.com%2Fwos%2Fwoscc%2Ffull-record%2FWOS:000259046200024","View Full Record in Web of Science")</f>
        <v>View Full Record in Web of Science</v>
      </c>
    </row>
    <row r="230" spans="1:72" x14ac:dyDescent="0.15">
      <c r="A230" t="s">
        <v>816</v>
      </c>
      <c r="B230" t="s">
        <v>3923</v>
      </c>
      <c r="C230" t="s">
        <v>74</v>
      </c>
      <c r="D230" t="s">
        <v>3924</v>
      </c>
      <c r="E230" t="s">
        <v>74</v>
      </c>
      <c r="F230" t="s">
        <v>3925</v>
      </c>
      <c r="G230" t="s">
        <v>74</v>
      </c>
      <c r="H230" t="s">
        <v>74</v>
      </c>
      <c r="I230" t="s">
        <v>3926</v>
      </c>
      <c r="J230" t="s">
        <v>3927</v>
      </c>
      <c r="K230" t="s">
        <v>1344</v>
      </c>
      <c r="L230" t="s">
        <v>74</v>
      </c>
      <c r="M230" t="s">
        <v>78</v>
      </c>
      <c r="N230" t="s">
        <v>823</v>
      </c>
      <c r="O230" t="s">
        <v>3928</v>
      </c>
      <c r="P230" t="s">
        <v>3929</v>
      </c>
      <c r="Q230" t="s">
        <v>3930</v>
      </c>
      <c r="R230" t="s">
        <v>74</v>
      </c>
      <c r="S230" t="s">
        <v>74</v>
      </c>
      <c r="T230" t="s">
        <v>3931</v>
      </c>
      <c r="U230" t="s">
        <v>3932</v>
      </c>
      <c r="V230" t="s">
        <v>3933</v>
      </c>
      <c r="W230" t="s">
        <v>3934</v>
      </c>
      <c r="X230" t="s">
        <v>3935</v>
      </c>
      <c r="Y230" t="s">
        <v>3936</v>
      </c>
      <c r="Z230" t="s">
        <v>74</v>
      </c>
      <c r="AA230" t="s">
        <v>3937</v>
      </c>
      <c r="AB230" t="s">
        <v>3938</v>
      </c>
      <c r="AC230" t="s">
        <v>74</v>
      </c>
      <c r="AD230" t="s">
        <v>74</v>
      </c>
      <c r="AE230" t="s">
        <v>74</v>
      </c>
      <c r="AF230" t="s">
        <v>74</v>
      </c>
      <c r="AG230">
        <v>13</v>
      </c>
      <c r="AH230">
        <v>28</v>
      </c>
      <c r="AI230">
        <v>28</v>
      </c>
      <c r="AJ230">
        <v>0</v>
      </c>
      <c r="AK230">
        <v>10</v>
      </c>
      <c r="AL230" t="s">
        <v>1354</v>
      </c>
      <c r="AM230" t="s">
        <v>1355</v>
      </c>
      <c r="AN230" t="s">
        <v>1356</v>
      </c>
      <c r="AO230" t="s">
        <v>1357</v>
      </c>
      <c r="AP230" t="s">
        <v>74</v>
      </c>
      <c r="AQ230" t="s">
        <v>3939</v>
      </c>
      <c r="AR230" t="s">
        <v>1360</v>
      </c>
      <c r="AS230" t="s">
        <v>74</v>
      </c>
      <c r="AT230" t="s">
        <v>74</v>
      </c>
      <c r="AU230">
        <v>2008</v>
      </c>
      <c r="AV230">
        <v>7081</v>
      </c>
      <c r="AW230" t="s">
        <v>74</v>
      </c>
      <c r="AX230" t="s">
        <v>74</v>
      </c>
      <c r="AY230" t="s">
        <v>74</v>
      </c>
      <c r="AZ230" t="s">
        <v>74</v>
      </c>
      <c r="BA230" t="s">
        <v>74</v>
      </c>
      <c r="BB230" t="s">
        <v>74</v>
      </c>
      <c r="BC230" t="s">
        <v>74</v>
      </c>
      <c r="BD230">
        <v>708113</v>
      </c>
      <c r="BE230" t="s">
        <v>3940</v>
      </c>
      <c r="BF230" t="str">
        <f>HYPERLINK("http://dx.doi.org/10.1117/12.795296","http://dx.doi.org/10.1117/12.795296")</f>
        <v>http://dx.doi.org/10.1117/12.795296</v>
      </c>
      <c r="BG230" t="s">
        <v>74</v>
      </c>
      <c r="BH230" t="s">
        <v>74</v>
      </c>
      <c r="BI230">
        <v>9</v>
      </c>
      <c r="BJ230" t="s">
        <v>3941</v>
      </c>
      <c r="BK230" t="s">
        <v>842</v>
      </c>
      <c r="BL230" t="s">
        <v>3941</v>
      </c>
      <c r="BM230" t="s">
        <v>3942</v>
      </c>
      <c r="BN230" t="s">
        <v>74</v>
      </c>
      <c r="BO230" t="s">
        <v>74</v>
      </c>
      <c r="BP230" t="s">
        <v>74</v>
      </c>
      <c r="BQ230" t="s">
        <v>74</v>
      </c>
      <c r="BR230" t="s">
        <v>100</v>
      </c>
      <c r="BS230" t="s">
        <v>3943</v>
      </c>
      <c r="BT230" t="str">
        <f>HYPERLINK("https%3A%2F%2Fwww.webofscience.com%2Fwos%2Fwoscc%2Ffull-record%2FWOS:000262056800031","View Full Record in Web of Science")</f>
        <v>View Full Record in Web of Science</v>
      </c>
    </row>
    <row r="231" spans="1:72" x14ac:dyDescent="0.15">
      <c r="A231" t="s">
        <v>72</v>
      </c>
      <c r="B231" t="s">
        <v>3944</v>
      </c>
      <c r="C231" t="s">
        <v>74</v>
      </c>
      <c r="D231" t="s">
        <v>74</v>
      </c>
      <c r="E231" t="s">
        <v>74</v>
      </c>
      <c r="F231" t="s">
        <v>3945</v>
      </c>
      <c r="G231" t="s">
        <v>74</v>
      </c>
      <c r="H231" t="s">
        <v>74</v>
      </c>
      <c r="I231" t="s">
        <v>3946</v>
      </c>
      <c r="J231" t="s">
        <v>3947</v>
      </c>
      <c r="K231" t="s">
        <v>74</v>
      </c>
      <c r="L231" t="s">
        <v>74</v>
      </c>
      <c r="M231" t="s">
        <v>78</v>
      </c>
      <c r="N231" t="s">
        <v>1602</v>
      </c>
      <c r="O231" t="s">
        <v>3948</v>
      </c>
      <c r="P231" t="s">
        <v>3949</v>
      </c>
      <c r="Q231" t="s">
        <v>3950</v>
      </c>
      <c r="R231" t="s">
        <v>74</v>
      </c>
      <c r="S231" t="s">
        <v>3951</v>
      </c>
      <c r="T231" t="s">
        <v>3952</v>
      </c>
      <c r="U231" t="s">
        <v>3953</v>
      </c>
      <c r="V231" t="s">
        <v>3954</v>
      </c>
      <c r="W231" t="s">
        <v>3955</v>
      </c>
      <c r="X231" t="s">
        <v>3956</v>
      </c>
      <c r="Y231" t="s">
        <v>3957</v>
      </c>
      <c r="Z231" t="s">
        <v>3958</v>
      </c>
      <c r="AA231" t="s">
        <v>74</v>
      </c>
      <c r="AB231" t="s">
        <v>74</v>
      </c>
      <c r="AC231" t="s">
        <v>74</v>
      </c>
      <c r="AD231" t="s">
        <v>74</v>
      </c>
      <c r="AE231" t="s">
        <v>74</v>
      </c>
      <c r="AF231" t="s">
        <v>74</v>
      </c>
      <c r="AG231">
        <v>69</v>
      </c>
      <c r="AH231">
        <v>66</v>
      </c>
      <c r="AI231">
        <v>69</v>
      </c>
      <c r="AJ231">
        <v>4</v>
      </c>
      <c r="AK231">
        <v>20</v>
      </c>
      <c r="AL231" t="s">
        <v>3959</v>
      </c>
      <c r="AM231" t="s">
        <v>118</v>
      </c>
      <c r="AN231" t="s">
        <v>3960</v>
      </c>
      <c r="AO231" t="s">
        <v>3961</v>
      </c>
      <c r="AP231" t="s">
        <v>74</v>
      </c>
      <c r="AQ231" t="s">
        <v>74</v>
      </c>
      <c r="AR231" t="s">
        <v>3962</v>
      </c>
      <c r="AS231" t="s">
        <v>3963</v>
      </c>
      <c r="AT231" t="s">
        <v>74</v>
      </c>
      <c r="AU231">
        <v>2008</v>
      </c>
      <c r="AV231">
        <v>60</v>
      </c>
      <c r="AW231">
        <v>4</v>
      </c>
      <c r="AX231" t="s">
        <v>74</v>
      </c>
      <c r="AY231" t="s">
        <v>74</v>
      </c>
      <c r="AZ231" t="s">
        <v>74</v>
      </c>
      <c r="BA231" t="s">
        <v>74</v>
      </c>
      <c r="BB231">
        <v>433</v>
      </c>
      <c r="BC231">
        <v>444</v>
      </c>
      <c r="BD231" t="s">
        <v>74</v>
      </c>
      <c r="BE231" t="s">
        <v>3964</v>
      </c>
      <c r="BF231" t="str">
        <f>HYPERLINK("http://dx.doi.org/10.1186/BF03352808","http://dx.doi.org/10.1186/BF03352808")</f>
        <v>http://dx.doi.org/10.1186/BF03352808</v>
      </c>
      <c r="BG231" t="s">
        <v>74</v>
      </c>
      <c r="BH231" t="s">
        <v>74</v>
      </c>
      <c r="BI231">
        <v>12</v>
      </c>
      <c r="BJ231" t="s">
        <v>96</v>
      </c>
      <c r="BK231" t="s">
        <v>1616</v>
      </c>
      <c r="BL231" t="s">
        <v>98</v>
      </c>
      <c r="BM231" t="s">
        <v>3965</v>
      </c>
      <c r="BN231" t="s">
        <v>74</v>
      </c>
      <c r="BO231" t="s">
        <v>649</v>
      </c>
      <c r="BP231" t="s">
        <v>74</v>
      </c>
      <c r="BQ231" t="s">
        <v>74</v>
      </c>
      <c r="BR231" t="s">
        <v>100</v>
      </c>
      <c r="BS231" t="s">
        <v>3966</v>
      </c>
      <c r="BT231" t="str">
        <f>HYPERLINK("https%3A%2F%2Fwww.webofscience.com%2Fwos%2Fwoscc%2Ffull-record%2FWOS:000256150200022","View Full Record in Web of Science")</f>
        <v>View Full Record in Web of Science</v>
      </c>
    </row>
    <row r="232" spans="1:72" x14ac:dyDescent="0.15">
      <c r="A232" t="s">
        <v>72</v>
      </c>
      <c r="B232" t="s">
        <v>3967</v>
      </c>
      <c r="C232" t="s">
        <v>74</v>
      </c>
      <c r="D232" t="s">
        <v>74</v>
      </c>
      <c r="E232" t="s">
        <v>74</v>
      </c>
      <c r="F232" t="s">
        <v>3968</v>
      </c>
      <c r="G232" t="s">
        <v>74</v>
      </c>
      <c r="H232" t="s">
        <v>74</v>
      </c>
      <c r="I232" t="s">
        <v>3969</v>
      </c>
      <c r="J232" t="s">
        <v>3947</v>
      </c>
      <c r="K232" t="s">
        <v>74</v>
      </c>
      <c r="L232" t="s">
        <v>74</v>
      </c>
      <c r="M232" t="s">
        <v>78</v>
      </c>
      <c r="N232" t="s">
        <v>79</v>
      </c>
      <c r="O232" t="s">
        <v>74</v>
      </c>
      <c r="P232" t="s">
        <v>74</v>
      </c>
      <c r="Q232" t="s">
        <v>74</v>
      </c>
      <c r="R232" t="s">
        <v>74</v>
      </c>
      <c r="S232" t="s">
        <v>74</v>
      </c>
      <c r="T232" t="s">
        <v>3970</v>
      </c>
      <c r="U232" t="s">
        <v>3971</v>
      </c>
      <c r="V232" t="s">
        <v>3972</v>
      </c>
      <c r="W232" t="s">
        <v>3973</v>
      </c>
      <c r="X232" t="s">
        <v>3974</v>
      </c>
      <c r="Y232" t="s">
        <v>3975</v>
      </c>
      <c r="Z232" t="s">
        <v>3976</v>
      </c>
      <c r="AA232" t="s">
        <v>3977</v>
      </c>
      <c r="AB232" t="s">
        <v>3978</v>
      </c>
      <c r="AC232" t="s">
        <v>74</v>
      </c>
      <c r="AD232" t="s">
        <v>74</v>
      </c>
      <c r="AE232" t="s">
        <v>74</v>
      </c>
      <c r="AF232" t="s">
        <v>74</v>
      </c>
      <c r="AG232">
        <v>38</v>
      </c>
      <c r="AH232">
        <v>12</v>
      </c>
      <c r="AI232">
        <v>19</v>
      </c>
      <c r="AJ232">
        <v>1</v>
      </c>
      <c r="AK232">
        <v>15</v>
      </c>
      <c r="AL232" t="s">
        <v>3959</v>
      </c>
      <c r="AM232" t="s">
        <v>118</v>
      </c>
      <c r="AN232" t="s">
        <v>3960</v>
      </c>
      <c r="AO232" t="s">
        <v>3961</v>
      </c>
      <c r="AP232" t="s">
        <v>74</v>
      </c>
      <c r="AQ232" t="s">
        <v>74</v>
      </c>
      <c r="AR232" t="s">
        <v>3962</v>
      </c>
      <c r="AS232" t="s">
        <v>3963</v>
      </c>
      <c r="AT232" t="s">
        <v>74</v>
      </c>
      <c r="AU232">
        <v>2008</v>
      </c>
      <c r="AV232">
        <v>60</v>
      </c>
      <c r="AW232">
        <v>5</v>
      </c>
      <c r="AX232" t="s">
        <v>74</v>
      </c>
      <c r="AY232" t="s">
        <v>74</v>
      </c>
      <c r="AZ232" t="s">
        <v>74</v>
      </c>
      <c r="BA232" t="s">
        <v>74</v>
      </c>
      <c r="BB232">
        <v>477</v>
      </c>
      <c r="BC232">
        <v>485</v>
      </c>
      <c r="BD232" t="s">
        <v>74</v>
      </c>
      <c r="BE232" t="s">
        <v>3979</v>
      </c>
      <c r="BF232" t="str">
        <f>HYPERLINK("http://dx.doi.org/10.1186/BF03352814","http://dx.doi.org/10.1186/BF03352814")</f>
        <v>http://dx.doi.org/10.1186/BF03352814</v>
      </c>
      <c r="BG232" t="s">
        <v>74</v>
      </c>
      <c r="BH232" t="s">
        <v>74</v>
      </c>
      <c r="BI232">
        <v>9</v>
      </c>
      <c r="BJ232" t="s">
        <v>96</v>
      </c>
      <c r="BK232" t="s">
        <v>97</v>
      </c>
      <c r="BL232" t="s">
        <v>98</v>
      </c>
      <c r="BM232" t="s">
        <v>3980</v>
      </c>
      <c r="BN232" t="s">
        <v>74</v>
      </c>
      <c r="BO232" t="s">
        <v>649</v>
      </c>
      <c r="BP232" t="s">
        <v>74</v>
      </c>
      <c r="BQ232" t="s">
        <v>74</v>
      </c>
      <c r="BR232" t="s">
        <v>100</v>
      </c>
      <c r="BS232" t="s">
        <v>3981</v>
      </c>
      <c r="BT232" t="str">
        <f>HYPERLINK("https%3A%2F%2Fwww.webofscience.com%2Fwos%2Fwoscc%2Ffull-record%2FWOS:000256465900005","View Full Record in Web of Science")</f>
        <v>View Full Record in Web of Science</v>
      </c>
    </row>
    <row r="233" spans="1:72" x14ac:dyDescent="0.15">
      <c r="A233" t="s">
        <v>72</v>
      </c>
      <c r="B233" t="s">
        <v>3982</v>
      </c>
      <c r="C233" t="s">
        <v>74</v>
      </c>
      <c r="D233" t="s">
        <v>74</v>
      </c>
      <c r="E233" t="s">
        <v>74</v>
      </c>
      <c r="F233" t="s">
        <v>3983</v>
      </c>
      <c r="G233" t="s">
        <v>74</v>
      </c>
      <c r="H233" t="s">
        <v>74</v>
      </c>
      <c r="I233" t="s">
        <v>3984</v>
      </c>
      <c r="J233" t="s">
        <v>3985</v>
      </c>
      <c r="K233" t="s">
        <v>74</v>
      </c>
      <c r="L233" t="s">
        <v>74</v>
      </c>
      <c r="M233" t="s">
        <v>3986</v>
      </c>
      <c r="N233" t="s">
        <v>79</v>
      </c>
      <c r="O233" t="s">
        <v>74</v>
      </c>
      <c r="P233" t="s">
        <v>74</v>
      </c>
      <c r="Q233" t="s">
        <v>74</v>
      </c>
      <c r="R233" t="s">
        <v>74</v>
      </c>
      <c r="S233" t="s">
        <v>74</v>
      </c>
      <c r="T233" t="s">
        <v>3987</v>
      </c>
      <c r="U233" t="s">
        <v>74</v>
      </c>
      <c r="V233" t="s">
        <v>3988</v>
      </c>
      <c r="W233" t="s">
        <v>3989</v>
      </c>
      <c r="X233" t="s">
        <v>3990</v>
      </c>
      <c r="Y233" t="s">
        <v>3991</v>
      </c>
      <c r="Z233" t="s">
        <v>3992</v>
      </c>
      <c r="AA233" t="s">
        <v>74</v>
      </c>
      <c r="AB233" t="s">
        <v>74</v>
      </c>
      <c r="AC233" t="s">
        <v>74</v>
      </c>
      <c r="AD233" t="s">
        <v>74</v>
      </c>
      <c r="AE233" t="s">
        <v>74</v>
      </c>
      <c r="AF233" t="s">
        <v>74</v>
      </c>
      <c r="AG233">
        <v>31</v>
      </c>
      <c r="AH233">
        <v>2</v>
      </c>
      <c r="AI233">
        <v>3</v>
      </c>
      <c r="AJ233">
        <v>0</v>
      </c>
      <c r="AK233">
        <v>4</v>
      </c>
      <c r="AL233" t="s">
        <v>3993</v>
      </c>
      <c r="AM233" t="s">
        <v>3994</v>
      </c>
      <c r="AN233" t="s">
        <v>3995</v>
      </c>
      <c r="AO233" t="s">
        <v>3996</v>
      </c>
      <c r="AP233" t="s">
        <v>3997</v>
      </c>
      <c r="AQ233" t="s">
        <v>74</v>
      </c>
      <c r="AR233" t="s">
        <v>3998</v>
      </c>
      <c r="AS233" t="s">
        <v>3999</v>
      </c>
      <c r="AT233" t="s">
        <v>4000</v>
      </c>
      <c r="AU233">
        <v>2008</v>
      </c>
      <c r="AV233">
        <v>7</v>
      </c>
      <c r="AW233" t="s">
        <v>551</v>
      </c>
      <c r="AX233" t="s">
        <v>74</v>
      </c>
      <c r="AY233" t="s">
        <v>74</v>
      </c>
      <c r="AZ233" t="s">
        <v>74</v>
      </c>
      <c r="BA233" t="s">
        <v>74</v>
      </c>
      <c r="BB233">
        <v>159</v>
      </c>
      <c r="BC233">
        <v>164</v>
      </c>
      <c r="BD233" t="s">
        <v>74</v>
      </c>
      <c r="BE233" t="s">
        <v>4001</v>
      </c>
      <c r="BF233" t="str">
        <f>HYPERLINK("http://dx.doi.org/10.21704/rea.v7i1-2.371","http://dx.doi.org/10.21704/rea.v7i1-2.371")</f>
        <v>http://dx.doi.org/10.21704/rea.v7i1-2.371</v>
      </c>
      <c r="BG233" t="s">
        <v>74</v>
      </c>
      <c r="BH233" t="s">
        <v>74</v>
      </c>
      <c r="BI233">
        <v>6</v>
      </c>
      <c r="BJ233" t="s">
        <v>297</v>
      </c>
      <c r="BK233" t="s">
        <v>2166</v>
      </c>
      <c r="BL233" t="s">
        <v>275</v>
      </c>
      <c r="BM233" t="s">
        <v>4002</v>
      </c>
      <c r="BN233" t="s">
        <v>74</v>
      </c>
      <c r="BO233" t="s">
        <v>4003</v>
      </c>
      <c r="BP233" t="s">
        <v>74</v>
      </c>
      <c r="BQ233" t="s">
        <v>74</v>
      </c>
      <c r="BR233" t="s">
        <v>100</v>
      </c>
      <c r="BS233" t="s">
        <v>4004</v>
      </c>
      <c r="BT233" t="str">
        <f>HYPERLINK("https%3A%2F%2Fwww.webofscience.com%2Fwos%2Fwoscc%2Ffull-record%2FWOS:000455428400019","View Full Record in Web of Science")</f>
        <v>View Full Record in Web of Science</v>
      </c>
    </row>
    <row r="234" spans="1:72" x14ac:dyDescent="0.15">
      <c r="A234" t="s">
        <v>72</v>
      </c>
      <c r="B234" t="s">
        <v>4005</v>
      </c>
      <c r="C234" t="s">
        <v>74</v>
      </c>
      <c r="D234" t="s">
        <v>74</v>
      </c>
      <c r="E234" t="s">
        <v>74</v>
      </c>
      <c r="F234" t="s">
        <v>4006</v>
      </c>
      <c r="G234" t="s">
        <v>74</v>
      </c>
      <c r="H234" t="s">
        <v>74</v>
      </c>
      <c r="I234" t="s">
        <v>4007</v>
      </c>
      <c r="J234" t="s">
        <v>4008</v>
      </c>
      <c r="K234" t="s">
        <v>74</v>
      </c>
      <c r="L234" t="s">
        <v>74</v>
      </c>
      <c r="M234" t="s">
        <v>78</v>
      </c>
      <c r="N234" t="s">
        <v>79</v>
      </c>
      <c r="O234" t="s">
        <v>74</v>
      </c>
      <c r="P234" t="s">
        <v>74</v>
      </c>
      <c r="Q234" t="s">
        <v>74</v>
      </c>
      <c r="R234" t="s">
        <v>74</v>
      </c>
      <c r="S234" t="s">
        <v>74</v>
      </c>
      <c r="T234" t="s">
        <v>4009</v>
      </c>
      <c r="U234" t="s">
        <v>4010</v>
      </c>
      <c r="V234" t="s">
        <v>4011</v>
      </c>
      <c r="W234" t="s">
        <v>4012</v>
      </c>
      <c r="X234" t="s">
        <v>4013</v>
      </c>
      <c r="Y234" t="s">
        <v>4014</v>
      </c>
      <c r="Z234" t="s">
        <v>1463</v>
      </c>
      <c r="AA234" t="s">
        <v>4015</v>
      </c>
      <c r="AB234" t="s">
        <v>4016</v>
      </c>
      <c r="AC234" t="s">
        <v>74</v>
      </c>
      <c r="AD234" t="s">
        <v>74</v>
      </c>
      <c r="AE234" t="s">
        <v>74</v>
      </c>
      <c r="AF234" t="s">
        <v>74</v>
      </c>
      <c r="AG234">
        <v>14</v>
      </c>
      <c r="AH234">
        <v>34</v>
      </c>
      <c r="AI234">
        <v>38</v>
      </c>
      <c r="AJ234">
        <v>0</v>
      </c>
      <c r="AK234">
        <v>10</v>
      </c>
      <c r="AL234" t="s">
        <v>4017</v>
      </c>
      <c r="AM234" t="s">
        <v>4018</v>
      </c>
      <c r="AN234" t="s">
        <v>4019</v>
      </c>
      <c r="AO234" t="s">
        <v>4020</v>
      </c>
      <c r="AP234" t="s">
        <v>4021</v>
      </c>
      <c r="AQ234" t="s">
        <v>74</v>
      </c>
      <c r="AR234" t="s">
        <v>4022</v>
      </c>
      <c r="AS234" t="s">
        <v>4023</v>
      </c>
      <c r="AT234" t="s">
        <v>74</v>
      </c>
      <c r="AU234">
        <v>2008</v>
      </c>
      <c r="AV234">
        <v>5</v>
      </c>
      <c r="AW234">
        <v>3</v>
      </c>
      <c r="AX234" t="s">
        <v>74</v>
      </c>
      <c r="AY234" t="s">
        <v>74</v>
      </c>
      <c r="AZ234" t="s">
        <v>74</v>
      </c>
      <c r="BA234" t="s">
        <v>74</v>
      </c>
      <c r="BB234">
        <v>171</v>
      </c>
      <c r="BC234">
        <v>175</v>
      </c>
      <c r="BD234" t="s">
        <v>74</v>
      </c>
      <c r="BE234" t="s">
        <v>4024</v>
      </c>
      <c r="BF234" t="str">
        <f>HYPERLINK("http://dx.doi.org/10.1071/EN08025","http://dx.doi.org/10.1071/EN08025")</f>
        <v>http://dx.doi.org/10.1071/EN08025</v>
      </c>
      <c r="BG234" t="s">
        <v>74</v>
      </c>
      <c r="BH234" t="s">
        <v>74</v>
      </c>
      <c r="BI234">
        <v>5</v>
      </c>
      <c r="BJ234" t="s">
        <v>4025</v>
      </c>
      <c r="BK234" t="s">
        <v>97</v>
      </c>
      <c r="BL234" t="s">
        <v>4026</v>
      </c>
      <c r="BM234" t="s">
        <v>4027</v>
      </c>
      <c r="BN234" t="s">
        <v>74</v>
      </c>
      <c r="BO234" t="s">
        <v>74</v>
      </c>
      <c r="BP234" t="s">
        <v>74</v>
      </c>
      <c r="BQ234" t="s">
        <v>74</v>
      </c>
      <c r="BR234" t="s">
        <v>100</v>
      </c>
      <c r="BS234" t="s">
        <v>4028</v>
      </c>
      <c r="BT234" t="str">
        <f>HYPERLINK("https%3A%2F%2Fwww.webofscience.com%2Fwos%2Fwoscc%2Ffull-record%2FWOS:000256874200001","View Full Record in Web of Science")</f>
        <v>View Full Record in Web of Science</v>
      </c>
    </row>
    <row r="235" spans="1:72" x14ac:dyDescent="0.15">
      <c r="A235" t="s">
        <v>72</v>
      </c>
      <c r="B235" t="s">
        <v>4029</v>
      </c>
      <c r="C235" t="s">
        <v>74</v>
      </c>
      <c r="D235" t="s">
        <v>74</v>
      </c>
      <c r="E235" t="s">
        <v>74</v>
      </c>
      <c r="F235" t="s">
        <v>4030</v>
      </c>
      <c r="G235" t="s">
        <v>74</v>
      </c>
      <c r="H235" t="s">
        <v>74</v>
      </c>
      <c r="I235" t="s">
        <v>4031</v>
      </c>
      <c r="J235" t="s">
        <v>4032</v>
      </c>
      <c r="K235" t="s">
        <v>74</v>
      </c>
      <c r="L235" t="s">
        <v>74</v>
      </c>
      <c r="M235" t="s">
        <v>78</v>
      </c>
      <c r="N235" t="s">
        <v>79</v>
      </c>
      <c r="O235" t="s">
        <v>74</v>
      </c>
      <c r="P235" t="s">
        <v>74</v>
      </c>
      <c r="Q235" t="s">
        <v>74</v>
      </c>
      <c r="R235" t="s">
        <v>74</v>
      </c>
      <c r="S235" t="s">
        <v>74</v>
      </c>
      <c r="T235" t="s">
        <v>4033</v>
      </c>
      <c r="U235" t="s">
        <v>74</v>
      </c>
      <c r="V235" t="s">
        <v>4034</v>
      </c>
      <c r="W235" t="s">
        <v>4035</v>
      </c>
      <c r="X235" t="s">
        <v>4036</v>
      </c>
      <c r="Y235" t="s">
        <v>4037</v>
      </c>
      <c r="Z235" t="s">
        <v>4038</v>
      </c>
      <c r="AA235" t="s">
        <v>74</v>
      </c>
      <c r="AB235" t="s">
        <v>4039</v>
      </c>
      <c r="AC235" t="s">
        <v>74</v>
      </c>
      <c r="AD235" t="s">
        <v>74</v>
      </c>
      <c r="AE235" t="s">
        <v>74</v>
      </c>
      <c r="AF235" t="s">
        <v>74</v>
      </c>
      <c r="AG235">
        <v>0</v>
      </c>
      <c r="AH235">
        <v>2</v>
      </c>
      <c r="AI235">
        <v>3</v>
      </c>
      <c r="AJ235">
        <v>0</v>
      </c>
      <c r="AK235">
        <v>7</v>
      </c>
      <c r="AL235" t="s">
        <v>2518</v>
      </c>
      <c r="AM235" t="s">
        <v>1421</v>
      </c>
      <c r="AN235" t="s">
        <v>2519</v>
      </c>
      <c r="AO235" t="s">
        <v>4040</v>
      </c>
      <c r="AP235" t="s">
        <v>74</v>
      </c>
      <c r="AQ235" t="s">
        <v>74</v>
      </c>
      <c r="AR235" t="s">
        <v>4041</v>
      </c>
      <c r="AS235" t="s">
        <v>4042</v>
      </c>
      <c r="AT235" t="s">
        <v>74</v>
      </c>
      <c r="AU235">
        <v>2008</v>
      </c>
      <c r="AV235">
        <v>2</v>
      </c>
      <c r="AW235">
        <v>3</v>
      </c>
      <c r="AX235" t="s">
        <v>74</v>
      </c>
      <c r="AY235" t="s">
        <v>74</v>
      </c>
      <c r="AZ235" t="s">
        <v>74</v>
      </c>
      <c r="BA235" t="s">
        <v>74</v>
      </c>
      <c r="BB235">
        <v>274</v>
      </c>
      <c r="BC235">
        <v>280</v>
      </c>
      <c r="BD235" t="s">
        <v>74</v>
      </c>
      <c r="BE235" t="s">
        <v>4043</v>
      </c>
      <c r="BF235" t="str">
        <f>HYPERLINK("http://dx.doi.org/10.1080/17524030802390029","http://dx.doi.org/10.1080/17524030802390029")</f>
        <v>http://dx.doi.org/10.1080/17524030802390029</v>
      </c>
      <c r="BG235" t="s">
        <v>74</v>
      </c>
      <c r="BH235" t="s">
        <v>74</v>
      </c>
      <c r="BI235">
        <v>7</v>
      </c>
      <c r="BJ235" t="s">
        <v>4044</v>
      </c>
      <c r="BK235" t="s">
        <v>2526</v>
      </c>
      <c r="BL235" t="s">
        <v>4045</v>
      </c>
      <c r="BM235" t="s">
        <v>4046</v>
      </c>
      <c r="BN235" t="s">
        <v>74</v>
      </c>
      <c r="BO235" t="s">
        <v>74</v>
      </c>
      <c r="BP235" t="s">
        <v>74</v>
      </c>
      <c r="BQ235" t="s">
        <v>74</v>
      </c>
      <c r="BR235" t="s">
        <v>100</v>
      </c>
      <c r="BS235" t="s">
        <v>4047</v>
      </c>
      <c r="BT235" t="str">
        <f>HYPERLINK("https%3A%2F%2Fwww.webofscience.com%2Fwos%2Fwoscc%2Ffull-record%2FWOS:000207486700002","View Full Record in Web of Science")</f>
        <v>View Full Record in Web of Science</v>
      </c>
    </row>
    <row r="236" spans="1:72" x14ac:dyDescent="0.15">
      <c r="A236" t="s">
        <v>72</v>
      </c>
      <c r="B236" t="s">
        <v>4048</v>
      </c>
      <c r="C236" t="s">
        <v>74</v>
      </c>
      <c r="D236" t="s">
        <v>74</v>
      </c>
      <c r="E236" t="s">
        <v>74</v>
      </c>
      <c r="F236" t="s">
        <v>4049</v>
      </c>
      <c r="G236" t="s">
        <v>74</v>
      </c>
      <c r="H236" t="s">
        <v>74</v>
      </c>
      <c r="I236" t="s">
        <v>4050</v>
      </c>
      <c r="J236" t="s">
        <v>4051</v>
      </c>
      <c r="K236" t="s">
        <v>74</v>
      </c>
      <c r="L236" t="s">
        <v>74</v>
      </c>
      <c r="M236" t="s">
        <v>78</v>
      </c>
      <c r="N236" t="s">
        <v>79</v>
      </c>
      <c r="O236" t="s">
        <v>74</v>
      </c>
      <c r="P236" t="s">
        <v>74</v>
      </c>
      <c r="Q236" t="s">
        <v>74</v>
      </c>
      <c r="R236" t="s">
        <v>74</v>
      </c>
      <c r="S236" t="s">
        <v>74</v>
      </c>
      <c r="T236" t="s">
        <v>4052</v>
      </c>
      <c r="U236" t="s">
        <v>4053</v>
      </c>
      <c r="V236" t="s">
        <v>4054</v>
      </c>
      <c r="W236" t="s">
        <v>4055</v>
      </c>
      <c r="X236" t="s">
        <v>4056</v>
      </c>
      <c r="Y236" t="s">
        <v>4057</v>
      </c>
      <c r="Z236" t="s">
        <v>4058</v>
      </c>
      <c r="AA236" t="s">
        <v>4059</v>
      </c>
      <c r="AB236" t="s">
        <v>4060</v>
      </c>
      <c r="AC236" t="s">
        <v>74</v>
      </c>
      <c r="AD236" t="s">
        <v>74</v>
      </c>
      <c r="AE236" t="s">
        <v>74</v>
      </c>
      <c r="AF236" t="s">
        <v>74</v>
      </c>
      <c r="AG236">
        <v>36</v>
      </c>
      <c r="AH236">
        <v>23</v>
      </c>
      <c r="AI236">
        <v>24</v>
      </c>
      <c r="AJ236">
        <v>0</v>
      </c>
      <c r="AK236">
        <v>7</v>
      </c>
      <c r="AL236" t="s">
        <v>1400</v>
      </c>
      <c r="AM236" t="s">
        <v>522</v>
      </c>
      <c r="AN236" t="s">
        <v>1401</v>
      </c>
      <c r="AO236" t="s">
        <v>4061</v>
      </c>
      <c r="AP236" t="s">
        <v>4062</v>
      </c>
      <c r="AQ236" t="s">
        <v>74</v>
      </c>
      <c r="AR236" t="s">
        <v>4063</v>
      </c>
      <c r="AS236" t="s">
        <v>4064</v>
      </c>
      <c r="AT236" t="s">
        <v>1490</v>
      </c>
      <c r="AU236">
        <v>2008</v>
      </c>
      <c r="AV236">
        <v>151</v>
      </c>
      <c r="AW236">
        <v>1</v>
      </c>
      <c r="AX236" t="s">
        <v>74</v>
      </c>
      <c r="AY236" t="s">
        <v>74</v>
      </c>
      <c r="AZ236" t="s">
        <v>74</v>
      </c>
      <c r="BA236" t="s">
        <v>74</v>
      </c>
      <c r="BB236">
        <v>8</v>
      </c>
      <c r="BC236">
        <v>16</v>
      </c>
      <c r="BD236" t="s">
        <v>74</v>
      </c>
      <c r="BE236" t="s">
        <v>4065</v>
      </c>
      <c r="BF236" t="str">
        <f>HYPERLINK("http://dx.doi.org/10.1016/j.envpol.2007.03.009","http://dx.doi.org/10.1016/j.envpol.2007.03.009")</f>
        <v>http://dx.doi.org/10.1016/j.envpol.2007.03.009</v>
      </c>
      <c r="BG236" t="s">
        <v>74</v>
      </c>
      <c r="BH236" t="s">
        <v>74</v>
      </c>
      <c r="BI236">
        <v>9</v>
      </c>
      <c r="BJ236" t="s">
        <v>274</v>
      </c>
      <c r="BK236" t="s">
        <v>97</v>
      </c>
      <c r="BL236" t="s">
        <v>275</v>
      </c>
      <c r="BM236" t="s">
        <v>4066</v>
      </c>
      <c r="BN236">
        <v>17481786</v>
      </c>
      <c r="BO236" t="s">
        <v>74</v>
      </c>
      <c r="BP236" t="s">
        <v>74</v>
      </c>
      <c r="BQ236" t="s">
        <v>74</v>
      </c>
      <c r="BR236" t="s">
        <v>100</v>
      </c>
      <c r="BS236" t="s">
        <v>4067</v>
      </c>
      <c r="BT236" t="str">
        <f>HYPERLINK("https%3A%2F%2Fwww.webofscience.com%2Fwos%2Fwoscc%2Ffull-record%2FWOS:000252766500002","View Full Record in Web of Science")</f>
        <v>View Full Record in Web of Science</v>
      </c>
    </row>
    <row r="237" spans="1:72" x14ac:dyDescent="0.15">
      <c r="A237" t="s">
        <v>72</v>
      </c>
      <c r="B237" t="s">
        <v>4068</v>
      </c>
      <c r="C237" t="s">
        <v>74</v>
      </c>
      <c r="D237" t="s">
        <v>74</v>
      </c>
      <c r="E237" t="s">
        <v>74</v>
      </c>
      <c r="F237" t="s">
        <v>4069</v>
      </c>
      <c r="G237" t="s">
        <v>74</v>
      </c>
      <c r="H237" t="s">
        <v>74</v>
      </c>
      <c r="I237" t="s">
        <v>4070</v>
      </c>
      <c r="J237" t="s">
        <v>4071</v>
      </c>
      <c r="K237" t="s">
        <v>74</v>
      </c>
      <c r="L237" t="s">
        <v>74</v>
      </c>
      <c r="M237" t="s">
        <v>78</v>
      </c>
      <c r="N237" t="s">
        <v>79</v>
      </c>
      <c r="O237" t="s">
        <v>74</v>
      </c>
      <c r="P237" t="s">
        <v>74</v>
      </c>
      <c r="Q237" t="s">
        <v>74</v>
      </c>
      <c r="R237" t="s">
        <v>74</v>
      </c>
      <c r="S237" t="s">
        <v>74</v>
      </c>
      <c r="T237" t="s">
        <v>4072</v>
      </c>
      <c r="U237" t="s">
        <v>4073</v>
      </c>
      <c r="V237" t="s">
        <v>4074</v>
      </c>
      <c r="W237" t="s">
        <v>4075</v>
      </c>
      <c r="X237" t="s">
        <v>4076</v>
      </c>
      <c r="Y237" t="s">
        <v>4077</v>
      </c>
      <c r="Z237" t="s">
        <v>4078</v>
      </c>
      <c r="AA237" t="s">
        <v>4079</v>
      </c>
      <c r="AB237" t="s">
        <v>4080</v>
      </c>
      <c r="AC237" t="s">
        <v>4081</v>
      </c>
      <c r="AD237" t="s">
        <v>4082</v>
      </c>
      <c r="AE237" t="s">
        <v>4083</v>
      </c>
      <c r="AF237" t="s">
        <v>74</v>
      </c>
      <c r="AG237">
        <v>34</v>
      </c>
      <c r="AH237">
        <v>29</v>
      </c>
      <c r="AI237">
        <v>35</v>
      </c>
      <c r="AJ237">
        <v>0</v>
      </c>
      <c r="AK237">
        <v>14</v>
      </c>
      <c r="AL237" t="s">
        <v>1331</v>
      </c>
      <c r="AM237" t="s">
        <v>1421</v>
      </c>
      <c r="AN237" t="s">
        <v>2160</v>
      </c>
      <c r="AO237" t="s">
        <v>4084</v>
      </c>
      <c r="AP237" t="s">
        <v>4085</v>
      </c>
      <c r="AQ237" t="s">
        <v>74</v>
      </c>
      <c r="AR237" t="s">
        <v>4086</v>
      </c>
      <c r="AS237" t="s">
        <v>4087</v>
      </c>
      <c r="AT237" t="s">
        <v>74</v>
      </c>
      <c r="AU237">
        <v>2008</v>
      </c>
      <c r="AV237">
        <v>43</v>
      </c>
      <c r="AW237">
        <v>4</v>
      </c>
      <c r="AX237" t="s">
        <v>74</v>
      </c>
      <c r="AY237" t="s">
        <v>74</v>
      </c>
      <c r="AZ237" t="s">
        <v>74</v>
      </c>
      <c r="BA237" t="s">
        <v>74</v>
      </c>
      <c r="BB237">
        <v>377</v>
      </c>
      <c r="BC237">
        <v>388</v>
      </c>
      <c r="BD237" t="s">
        <v>4088</v>
      </c>
      <c r="BE237" t="s">
        <v>4089</v>
      </c>
      <c r="BF237" t="str">
        <f>HYPERLINK("http://dx.doi.org/10.1080/09670260801979303","http://dx.doi.org/10.1080/09670260801979303")</f>
        <v>http://dx.doi.org/10.1080/09670260801979303</v>
      </c>
      <c r="BG237" t="s">
        <v>74</v>
      </c>
      <c r="BH237" t="s">
        <v>74</v>
      </c>
      <c r="BI237">
        <v>12</v>
      </c>
      <c r="BJ237" t="s">
        <v>4090</v>
      </c>
      <c r="BK237" t="s">
        <v>97</v>
      </c>
      <c r="BL237" t="s">
        <v>4090</v>
      </c>
      <c r="BM237" t="s">
        <v>4091</v>
      </c>
      <c r="BN237" t="s">
        <v>74</v>
      </c>
      <c r="BO237" t="s">
        <v>179</v>
      </c>
      <c r="BP237" t="s">
        <v>74</v>
      </c>
      <c r="BQ237" t="s">
        <v>74</v>
      </c>
      <c r="BR237" t="s">
        <v>100</v>
      </c>
      <c r="BS237" t="s">
        <v>4092</v>
      </c>
      <c r="BT237" t="str">
        <f>HYPERLINK("https%3A%2F%2Fwww.webofscience.com%2Fwos%2Fwoscc%2Ffull-record%2FWOS:000261194700005","View Full Record in Web of Science")</f>
        <v>View Full Record in Web of Science</v>
      </c>
    </row>
    <row r="238" spans="1:72" x14ac:dyDescent="0.15">
      <c r="A238" t="s">
        <v>72</v>
      </c>
      <c r="B238" t="s">
        <v>4093</v>
      </c>
      <c r="C238" t="s">
        <v>74</v>
      </c>
      <c r="D238" t="s">
        <v>74</v>
      </c>
      <c r="E238" t="s">
        <v>74</v>
      </c>
      <c r="F238" t="s">
        <v>4094</v>
      </c>
      <c r="G238" t="s">
        <v>74</v>
      </c>
      <c r="H238" t="s">
        <v>74</v>
      </c>
      <c r="I238" t="s">
        <v>4095</v>
      </c>
      <c r="J238" t="s">
        <v>4071</v>
      </c>
      <c r="K238" t="s">
        <v>74</v>
      </c>
      <c r="L238" t="s">
        <v>74</v>
      </c>
      <c r="M238" t="s">
        <v>78</v>
      </c>
      <c r="N238" t="s">
        <v>79</v>
      </c>
      <c r="O238" t="s">
        <v>74</v>
      </c>
      <c r="P238" t="s">
        <v>74</v>
      </c>
      <c r="Q238" t="s">
        <v>74</v>
      </c>
      <c r="R238" t="s">
        <v>74</v>
      </c>
      <c r="S238" t="s">
        <v>74</v>
      </c>
      <c r="T238" t="s">
        <v>4096</v>
      </c>
      <c r="U238" t="s">
        <v>4097</v>
      </c>
      <c r="V238" t="s">
        <v>4098</v>
      </c>
      <c r="W238" t="s">
        <v>4099</v>
      </c>
      <c r="X238" t="s">
        <v>4100</v>
      </c>
      <c r="Y238" t="s">
        <v>4101</v>
      </c>
      <c r="Z238" t="s">
        <v>4102</v>
      </c>
      <c r="AA238" t="s">
        <v>4103</v>
      </c>
      <c r="AB238" t="s">
        <v>4104</v>
      </c>
      <c r="AC238" t="s">
        <v>74</v>
      </c>
      <c r="AD238" t="s">
        <v>74</v>
      </c>
      <c r="AE238" t="s">
        <v>74</v>
      </c>
      <c r="AF238" t="s">
        <v>74</v>
      </c>
      <c r="AG238">
        <v>60</v>
      </c>
      <c r="AH238">
        <v>44</v>
      </c>
      <c r="AI238">
        <v>48</v>
      </c>
      <c r="AJ238">
        <v>0</v>
      </c>
      <c r="AK238">
        <v>19</v>
      </c>
      <c r="AL238" t="s">
        <v>1331</v>
      </c>
      <c r="AM238" t="s">
        <v>1421</v>
      </c>
      <c r="AN238" t="s">
        <v>2160</v>
      </c>
      <c r="AO238" t="s">
        <v>4084</v>
      </c>
      <c r="AP238" t="s">
        <v>4085</v>
      </c>
      <c r="AQ238" t="s">
        <v>74</v>
      </c>
      <c r="AR238" t="s">
        <v>4086</v>
      </c>
      <c r="AS238" t="s">
        <v>4087</v>
      </c>
      <c r="AT238" t="s">
        <v>74</v>
      </c>
      <c r="AU238">
        <v>2008</v>
      </c>
      <c r="AV238">
        <v>43</v>
      </c>
      <c r="AW238">
        <v>4</v>
      </c>
      <c r="AX238" t="s">
        <v>74</v>
      </c>
      <c r="AY238" t="s">
        <v>74</v>
      </c>
      <c r="AZ238" t="s">
        <v>74</v>
      </c>
      <c r="BA238" t="s">
        <v>74</v>
      </c>
      <c r="BB238">
        <v>423</v>
      </c>
      <c r="BC238">
        <v>433</v>
      </c>
      <c r="BD238" t="s">
        <v>4105</v>
      </c>
      <c r="BE238" t="s">
        <v>4106</v>
      </c>
      <c r="BF238" t="str">
        <f>HYPERLINK("http://dx.doi.org/10.1080/09670260802348615","http://dx.doi.org/10.1080/09670260802348615")</f>
        <v>http://dx.doi.org/10.1080/09670260802348615</v>
      </c>
      <c r="BG238" t="s">
        <v>74</v>
      </c>
      <c r="BH238" t="s">
        <v>74</v>
      </c>
      <c r="BI238">
        <v>11</v>
      </c>
      <c r="BJ238" t="s">
        <v>4090</v>
      </c>
      <c r="BK238" t="s">
        <v>97</v>
      </c>
      <c r="BL238" t="s">
        <v>4090</v>
      </c>
      <c r="BM238" t="s">
        <v>4091</v>
      </c>
      <c r="BN238" t="s">
        <v>74</v>
      </c>
      <c r="BO238" t="s">
        <v>179</v>
      </c>
      <c r="BP238" t="s">
        <v>74</v>
      </c>
      <c r="BQ238" t="s">
        <v>74</v>
      </c>
      <c r="BR238" t="s">
        <v>100</v>
      </c>
      <c r="BS238" t="s">
        <v>4107</v>
      </c>
      <c r="BT238" t="str">
        <f>HYPERLINK("https%3A%2F%2Fwww.webofscience.com%2Fwos%2Fwoscc%2Ffull-record%2FWOS:000261194700009","View Full Record in Web of Science")</f>
        <v>View Full Record in Web of Science</v>
      </c>
    </row>
    <row r="239" spans="1:72" x14ac:dyDescent="0.15">
      <c r="A239" t="s">
        <v>816</v>
      </c>
      <c r="B239" t="s">
        <v>4108</v>
      </c>
      <c r="C239" t="s">
        <v>74</v>
      </c>
      <c r="D239" t="s">
        <v>4109</v>
      </c>
      <c r="E239" t="s">
        <v>74</v>
      </c>
      <c r="F239" t="s">
        <v>4110</v>
      </c>
      <c r="G239" t="s">
        <v>74</v>
      </c>
      <c r="H239" t="s">
        <v>74</v>
      </c>
      <c r="I239" t="s">
        <v>4111</v>
      </c>
      <c r="J239" t="s">
        <v>4112</v>
      </c>
      <c r="K239" t="s">
        <v>1344</v>
      </c>
      <c r="L239" t="s">
        <v>74</v>
      </c>
      <c r="M239" t="s">
        <v>78</v>
      </c>
      <c r="N239" t="s">
        <v>823</v>
      </c>
      <c r="O239" t="s">
        <v>4113</v>
      </c>
      <c r="P239" t="s">
        <v>4114</v>
      </c>
      <c r="Q239" t="s">
        <v>4115</v>
      </c>
      <c r="R239" t="s">
        <v>74</v>
      </c>
      <c r="S239" t="s">
        <v>74</v>
      </c>
      <c r="T239" t="s">
        <v>4116</v>
      </c>
      <c r="U239" t="s">
        <v>4117</v>
      </c>
      <c r="V239" t="s">
        <v>4118</v>
      </c>
      <c r="W239" t="s">
        <v>4119</v>
      </c>
      <c r="X239" t="s">
        <v>2624</v>
      </c>
      <c r="Y239" t="s">
        <v>4120</v>
      </c>
      <c r="Z239" t="s">
        <v>4121</v>
      </c>
      <c r="AA239" t="s">
        <v>74</v>
      </c>
      <c r="AB239" t="s">
        <v>74</v>
      </c>
      <c r="AC239" t="s">
        <v>74</v>
      </c>
      <c r="AD239" t="s">
        <v>74</v>
      </c>
      <c r="AE239" t="s">
        <v>74</v>
      </c>
      <c r="AF239" t="s">
        <v>74</v>
      </c>
      <c r="AG239">
        <v>14</v>
      </c>
      <c r="AH239">
        <v>2</v>
      </c>
      <c r="AI239">
        <v>2</v>
      </c>
      <c r="AJ239">
        <v>0</v>
      </c>
      <c r="AK239">
        <v>4</v>
      </c>
      <c r="AL239" t="s">
        <v>1354</v>
      </c>
      <c r="AM239" t="s">
        <v>1355</v>
      </c>
      <c r="AN239" t="s">
        <v>1356</v>
      </c>
      <c r="AO239" t="s">
        <v>1357</v>
      </c>
      <c r="AP239" t="s">
        <v>1358</v>
      </c>
      <c r="AQ239" t="s">
        <v>4122</v>
      </c>
      <c r="AR239" t="s">
        <v>1360</v>
      </c>
      <c r="AS239" t="s">
        <v>74</v>
      </c>
      <c r="AT239" t="s">
        <v>74</v>
      </c>
      <c r="AU239">
        <v>2008</v>
      </c>
      <c r="AV239">
        <v>6986</v>
      </c>
      <c r="AW239" t="s">
        <v>74</v>
      </c>
      <c r="AX239" t="s">
        <v>74</v>
      </c>
      <c r="AY239" t="s">
        <v>74</v>
      </c>
      <c r="AZ239" t="s">
        <v>74</v>
      </c>
      <c r="BA239" t="s">
        <v>74</v>
      </c>
      <c r="BB239" t="s">
        <v>74</v>
      </c>
      <c r="BC239" t="s">
        <v>74</v>
      </c>
      <c r="BD239" t="s">
        <v>4123</v>
      </c>
      <c r="BE239" t="s">
        <v>4124</v>
      </c>
      <c r="BF239" t="str">
        <f>HYPERLINK("http://dx.doi.org/10.1117/12.801270","http://dx.doi.org/10.1117/12.801270")</f>
        <v>http://dx.doi.org/10.1117/12.801270</v>
      </c>
      <c r="BG239" t="s">
        <v>74</v>
      </c>
      <c r="BH239" t="s">
        <v>74</v>
      </c>
      <c r="BI239">
        <v>8</v>
      </c>
      <c r="BJ239" t="s">
        <v>4125</v>
      </c>
      <c r="BK239" t="s">
        <v>842</v>
      </c>
      <c r="BL239" t="s">
        <v>4125</v>
      </c>
      <c r="BM239" t="s">
        <v>4126</v>
      </c>
      <c r="BN239" t="s">
        <v>74</v>
      </c>
      <c r="BO239" t="s">
        <v>74</v>
      </c>
      <c r="BP239" t="s">
        <v>74</v>
      </c>
      <c r="BQ239" t="s">
        <v>74</v>
      </c>
      <c r="BR239" t="s">
        <v>100</v>
      </c>
      <c r="BS239" t="s">
        <v>4127</v>
      </c>
      <c r="BT239" t="str">
        <f>HYPERLINK("https%3A%2F%2Fwww.webofscience.com%2Fwos%2Fwoscc%2Ffull-record%2FWOS:000258065600015","View Full Record in Web of Science")</f>
        <v>View Full Record in Web of Science</v>
      </c>
    </row>
    <row r="240" spans="1:72" x14ac:dyDescent="0.15">
      <c r="A240" t="s">
        <v>72</v>
      </c>
      <c r="B240" t="s">
        <v>4128</v>
      </c>
      <c r="C240" t="s">
        <v>74</v>
      </c>
      <c r="D240" t="s">
        <v>74</v>
      </c>
      <c r="E240" t="s">
        <v>74</v>
      </c>
      <c r="F240" t="s">
        <v>4129</v>
      </c>
      <c r="G240" t="s">
        <v>74</v>
      </c>
      <c r="H240" t="s">
        <v>74</v>
      </c>
      <c r="I240" t="s">
        <v>4130</v>
      </c>
      <c r="J240" t="s">
        <v>4131</v>
      </c>
      <c r="K240" t="s">
        <v>74</v>
      </c>
      <c r="L240" t="s">
        <v>74</v>
      </c>
      <c r="M240" t="s">
        <v>78</v>
      </c>
      <c r="N240" t="s">
        <v>79</v>
      </c>
      <c r="O240" t="s">
        <v>74</v>
      </c>
      <c r="P240" t="s">
        <v>74</v>
      </c>
      <c r="Q240" t="s">
        <v>74</v>
      </c>
      <c r="R240" t="s">
        <v>74</v>
      </c>
      <c r="S240" t="s">
        <v>74</v>
      </c>
      <c r="T240" t="s">
        <v>4132</v>
      </c>
      <c r="U240" t="s">
        <v>4133</v>
      </c>
      <c r="V240" t="s">
        <v>4134</v>
      </c>
      <c r="W240" t="s">
        <v>4135</v>
      </c>
      <c r="X240" t="s">
        <v>4136</v>
      </c>
      <c r="Y240" t="s">
        <v>4137</v>
      </c>
      <c r="Z240" t="s">
        <v>4138</v>
      </c>
      <c r="AA240" t="s">
        <v>74</v>
      </c>
      <c r="AB240" t="s">
        <v>74</v>
      </c>
      <c r="AC240" t="s">
        <v>74</v>
      </c>
      <c r="AD240" t="s">
        <v>74</v>
      </c>
      <c r="AE240" t="s">
        <v>74</v>
      </c>
      <c r="AF240" t="s">
        <v>74</v>
      </c>
      <c r="AG240">
        <v>41</v>
      </c>
      <c r="AH240">
        <v>34</v>
      </c>
      <c r="AI240">
        <v>39</v>
      </c>
      <c r="AJ240">
        <v>1</v>
      </c>
      <c r="AK240">
        <v>14</v>
      </c>
      <c r="AL240" t="s">
        <v>4139</v>
      </c>
      <c r="AM240" t="s">
        <v>804</v>
      </c>
      <c r="AN240" t="s">
        <v>4140</v>
      </c>
      <c r="AO240" t="s">
        <v>4141</v>
      </c>
      <c r="AP240" t="s">
        <v>4142</v>
      </c>
      <c r="AQ240" t="s">
        <v>74</v>
      </c>
      <c r="AR240" t="s">
        <v>4131</v>
      </c>
      <c r="AS240" t="s">
        <v>4143</v>
      </c>
      <c r="AT240" t="s">
        <v>1490</v>
      </c>
      <c r="AU240">
        <v>2008</v>
      </c>
      <c r="AV240">
        <v>12</v>
      </c>
      <c r="AW240">
        <v>1</v>
      </c>
      <c r="AX240" t="s">
        <v>74</v>
      </c>
      <c r="AY240" t="s">
        <v>74</v>
      </c>
      <c r="AZ240" t="s">
        <v>74</v>
      </c>
      <c r="BA240" t="s">
        <v>74</v>
      </c>
      <c r="BB240">
        <v>97</v>
      </c>
      <c r="BC240">
        <v>105</v>
      </c>
      <c r="BD240" t="s">
        <v>74</v>
      </c>
      <c r="BE240" t="s">
        <v>4144</v>
      </c>
      <c r="BF240" t="str">
        <f>HYPERLINK("http://dx.doi.org/10.1007/s00792-007-0107-9","http://dx.doi.org/10.1007/s00792-007-0107-9")</f>
        <v>http://dx.doi.org/10.1007/s00792-007-0107-9</v>
      </c>
      <c r="BG240" t="s">
        <v>74</v>
      </c>
      <c r="BH240" t="s">
        <v>74</v>
      </c>
      <c r="BI240">
        <v>9</v>
      </c>
      <c r="BJ240" t="s">
        <v>4145</v>
      </c>
      <c r="BK240" t="s">
        <v>97</v>
      </c>
      <c r="BL240" t="s">
        <v>4145</v>
      </c>
      <c r="BM240" t="s">
        <v>4146</v>
      </c>
      <c r="BN240">
        <v>17726573</v>
      </c>
      <c r="BO240" t="s">
        <v>74</v>
      </c>
      <c r="BP240" t="s">
        <v>74</v>
      </c>
      <c r="BQ240" t="s">
        <v>74</v>
      </c>
      <c r="BR240" t="s">
        <v>100</v>
      </c>
      <c r="BS240" t="s">
        <v>4147</v>
      </c>
      <c r="BT240" t="str">
        <f>HYPERLINK("https%3A%2F%2Fwww.webofscience.com%2Fwos%2Fwoscc%2Ffull-record%2FWOS:000252191800013","View Full Record in Web of Science")</f>
        <v>View Full Record in Web of Science</v>
      </c>
    </row>
    <row r="241" spans="1:72" x14ac:dyDescent="0.15">
      <c r="A241" t="s">
        <v>816</v>
      </c>
      <c r="B241" t="s">
        <v>4148</v>
      </c>
      <c r="C241" t="s">
        <v>74</v>
      </c>
      <c r="D241" t="s">
        <v>4149</v>
      </c>
      <c r="E241" t="s">
        <v>74</v>
      </c>
      <c r="F241" t="s">
        <v>4150</v>
      </c>
      <c r="G241" t="s">
        <v>74</v>
      </c>
      <c r="H241" t="s">
        <v>74</v>
      </c>
      <c r="I241" t="s">
        <v>4151</v>
      </c>
      <c r="J241" t="s">
        <v>4152</v>
      </c>
      <c r="K241" t="s">
        <v>4153</v>
      </c>
      <c r="L241" t="s">
        <v>74</v>
      </c>
      <c r="M241" t="s">
        <v>78</v>
      </c>
      <c r="N241" t="s">
        <v>823</v>
      </c>
      <c r="O241" t="s">
        <v>4154</v>
      </c>
      <c r="P241" t="s">
        <v>4155</v>
      </c>
      <c r="Q241" t="s">
        <v>4156</v>
      </c>
      <c r="R241" t="s">
        <v>74</v>
      </c>
      <c r="S241" t="s">
        <v>74</v>
      </c>
      <c r="T241" t="s">
        <v>4157</v>
      </c>
      <c r="U241" t="s">
        <v>4158</v>
      </c>
      <c r="V241" t="s">
        <v>4159</v>
      </c>
      <c r="W241" t="s">
        <v>4160</v>
      </c>
      <c r="X241" t="s">
        <v>4161</v>
      </c>
      <c r="Y241" t="s">
        <v>74</v>
      </c>
      <c r="Z241" t="s">
        <v>4162</v>
      </c>
      <c r="AA241" t="s">
        <v>74</v>
      </c>
      <c r="AB241" t="s">
        <v>74</v>
      </c>
      <c r="AC241" t="s">
        <v>74</v>
      </c>
      <c r="AD241" t="s">
        <v>74</v>
      </c>
      <c r="AE241" t="s">
        <v>74</v>
      </c>
      <c r="AF241" t="s">
        <v>74</v>
      </c>
      <c r="AG241">
        <v>54</v>
      </c>
      <c r="AH241">
        <v>5</v>
      </c>
      <c r="AI241">
        <v>5</v>
      </c>
      <c r="AJ241">
        <v>2</v>
      </c>
      <c r="AK241">
        <v>9</v>
      </c>
      <c r="AL241" t="s">
        <v>1265</v>
      </c>
      <c r="AM241" t="s">
        <v>1317</v>
      </c>
      <c r="AN241" t="s">
        <v>1318</v>
      </c>
      <c r="AO241" t="s">
        <v>4163</v>
      </c>
      <c r="AP241" t="s">
        <v>74</v>
      </c>
      <c r="AQ241" t="s">
        <v>4164</v>
      </c>
      <c r="AR241" t="s">
        <v>4165</v>
      </c>
      <c r="AS241" t="s">
        <v>4166</v>
      </c>
      <c r="AT241" t="s">
        <v>74</v>
      </c>
      <c r="AU241">
        <v>2008</v>
      </c>
      <c r="AV241" t="s">
        <v>74</v>
      </c>
      <c r="AW241" t="s">
        <v>74</v>
      </c>
      <c r="AX241" t="s">
        <v>74</v>
      </c>
      <c r="AY241" t="s">
        <v>74</v>
      </c>
      <c r="AZ241" t="s">
        <v>74</v>
      </c>
      <c r="BA241" t="s">
        <v>74</v>
      </c>
      <c r="BB241">
        <v>251</v>
      </c>
      <c r="BC241">
        <v>267</v>
      </c>
      <c r="BD241" t="s">
        <v>74</v>
      </c>
      <c r="BE241" t="s">
        <v>4167</v>
      </c>
      <c r="BF241" t="str">
        <f>HYPERLINK("http://dx.doi.org/10.1007/978-1-4020-6642-9_20","http://dx.doi.org/10.1007/978-1-4020-6642-9_20")</f>
        <v>http://dx.doi.org/10.1007/978-1-4020-6642-9_20</v>
      </c>
      <c r="BG241" t="s">
        <v>74</v>
      </c>
      <c r="BH241" t="s">
        <v>74</v>
      </c>
      <c r="BI241">
        <v>17</v>
      </c>
      <c r="BJ241" t="s">
        <v>4168</v>
      </c>
      <c r="BK241" t="s">
        <v>4169</v>
      </c>
      <c r="BL241" t="s">
        <v>4170</v>
      </c>
      <c r="BM241" t="s">
        <v>4171</v>
      </c>
      <c r="BN241" t="s">
        <v>74</v>
      </c>
      <c r="BO241" t="s">
        <v>74</v>
      </c>
      <c r="BP241" t="s">
        <v>74</v>
      </c>
      <c r="BQ241" t="s">
        <v>74</v>
      </c>
      <c r="BR241" t="s">
        <v>100</v>
      </c>
      <c r="BS241" t="s">
        <v>4172</v>
      </c>
      <c r="BT241" t="str">
        <f>HYPERLINK("https%3A%2F%2Fwww.webofscience.com%2Fwos%2Fwoscc%2Ffull-record%2FWOS:000252431300020","View Full Record in Web of Science")</f>
        <v>View Full Record in Web of Science</v>
      </c>
    </row>
    <row r="242" spans="1:72" x14ac:dyDescent="0.15">
      <c r="A242" t="s">
        <v>816</v>
      </c>
      <c r="B242" t="s">
        <v>4148</v>
      </c>
      <c r="C242" t="s">
        <v>74</v>
      </c>
      <c r="D242" t="s">
        <v>4149</v>
      </c>
      <c r="E242" t="s">
        <v>74</v>
      </c>
      <c r="F242" t="s">
        <v>4150</v>
      </c>
      <c r="G242" t="s">
        <v>74</v>
      </c>
      <c r="H242" t="s">
        <v>74</v>
      </c>
      <c r="I242" t="s">
        <v>4173</v>
      </c>
      <c r="J242" t="s">
        <v>4152</v>
      </c>
      <c r="K242" t="s">
        <v>4153</v>
      </c>
      <c r="L242" t="s">
        <v>74</v>
      </c>
      <c r="M242" t="s">
        <v>78</v>
      </c>
      <c r="N242" t="s">
        <v>823</v>
      </c>
      <c r="O242" t="s">
        <v>4154</v>
      </c>
      <c r="P242" t="s">
        <v>4155</v>
      </c>
      <c r="Q242" t="s">
        <v>4156</v>
      </c>
      <c r="R242" t="s">
        <v>74</v>
      </c>
      <c r="S242" t="s">
        <v>74</v>
      </c>
      <c r="T242" t="s">
        <v>4174</v>
      </c>
      <c r="U242" t="s">
        <v>4175</v>
      </c>
      <c r="V242" t="s">
        <v>4176</v>
      </c>
      <c r="W242" t="s">
        <v>4160</v>
      </c>
      <c r="X242" t="s">
        <v>4161</v>
      </c>
      <c r="Y242" t="s">
        <v>74</v>
      </c>
      <c r="Z242" t="s">
        <v>4162</v>
      </c>
      <c r="AA242" t="s">
        <v>74</v>
      </c>
      <c r="AB242" t="s">
        <v>74</v>
      </c>
      <c r="AC242" t="s">
        <v>74</v>
      </c>
      <c r="AD242" t="s">
        <v>74</v>
      </c>
      <c r="AE242" t="s">
        <v>74</v>
      </c>
      <c r="AF242" t="s">
        <v>74</v>
      </c>
      <c r="AG242">
        <v>43</v>
      </c>
      <c r="AH242">
        <v>0</v>
      </c>
      <c r="AI242">
        <v>0</v>
      </c>
      <c r="AJ242">
        <v>1</v>
      </c>
      <c r="AK242">
        <v>17</v>
      </c>
      <c r="AL242" t="s">
        <v>1265</v>
      </c>
      <c r="AM242" t="s">
        <v>1317</v>
      </c>
      <c r="AN242" t="s">
        <v>1318</v>
      </c>
      <c r="AO242" t="s">
        <v>4163</v>
      </c>
      <c r="AP242" t="s">
        <v>74</v>
      </c>
      <c r="AQ242" t="s">
        <v>4164</v>
      </c>
      <c r="AR242" t="s">
        <v>4165</v>
      </c>
      <c r="AS242" t="s">
        <v>4166</v>
      </c>
      <c r="AT242" t="s">
        <v>74</v>
      </c>
      <c r="AU242">
        <v>2008</v>
      </c>
      <c r="AV242" t="s">
        <v>74</v>
      </c>
      <c r="AW242" t="s">
        <v>74</v>
      </c>
      <c r="AX242" t="s">
        <v>74</v>
      </c>
      <c r="AY242" t="s">
        <v>74</v>
      </c>
      <c r="AZ242" t="s">
        <v>74</v>
      </c>
      <c r="BA242" t="s">
        <v>74</v>
      </c>
      <c r="BB242">
        <v>333</v>
      </c>
      <c r="BC242">
        <v>351</v>
      </c>
      <c r="BD242" t="s">
        <v>74</v>
      </c>
      <c r="BE242" t="s">
        <v>4177</v>
      </c>
      <c r="BF242" t="str">
        <f>HYPERLINK("http://dx.doi.org/10.1007/978-1-4020-6642-9_25","http://dx.doi.org/10.1007/978-1-4020-6642-9_25")</f>
        <v>http://dx.doi.org/10.1007/978-1-4020-6642-9_25</v>
      </c>
      <c r="BG242" t="s">
        <v>74</v>
      </c>
      <c r="BH242" t="s">
        <v>74</v>
      </c>
      <c r="BI242">
        <v>19</v>
      </c>
      <c r="BJ242" t="s">
        <v>4168</v>
      </c>
      <c r="BK242" t="s">
        <v>4169</v>
      </c>
      <c r="BL242" t="s">
        <v>4170</v>
      </c>
      <c r="BM242" t="s">
        <v>4171</v>
      </c>
      <c r="BN242" t="s">
        <v>74</v>
      </c>
      <c r="BO242" t="s">
        <v>74</v>
      </c>
      <c r="BP242" t="s">
        <v>74</v>
      </c>
      <c r="BQ242" t="s">
        <v>74</v>
      </c>
      <c r="BR242" t="s">
        <v>100</v>
      </c>
      <c r="BS242" t="s">
        <v>4178</v>
      </c>
      <c r="BT242" t="str">
        <f>HYPERLINK("https%3A%2F%2Fwww.webofscience.com%2Fwos%2Fwoscc%2Ffull-record%2FWOS:000252431300025","View Full Record in Web of Science")</f>
        <v>View Full Record in Web of Science</v>
      </c>
    </row>
    <row r="243" spans="1:72" x14ac:dyDescent="0.15">
      <c r="A243" t="s">
        <v>72</v>
      </c>
      <c r="B243" t="s">
        <v>4179</v>
      </c>
      <c r="C243" t="s">
        <v>74</v>
      </c>
      <c r="D243" t="s">
        <v>74</v>
      </c>
      <c r="E243" t="s">
        <v>74</v>
      </c>
      <c r="F243" t="s">
        <v>4180</v>
      </c>
      <c r="G243" t="s">
        <v>74</v>
      </c>
      <c r="H243" t="s">
        <v>74</v>
      </c>
      <c r="I243" t="s">
        <v>4181</v>
      </c>
      <c r="J243" t="s">
        <v>4182</v>
      </c>
      <c r="K243" t="s">
        <v>74</v>
      </c>
      <c r="L243" t="s">
        <v>74</v>
      </c>
      <c r="M243" t="s">
        <v>78</v>
      </c>
      <c r="N243" t="s">
        <v>79</v>
      </c>
      <c r="O243" t="s">
        <v>74</v>
      </c>
      <c r="P243" t="s">
        <v>74</v>
      </c>
      <c r="Q243" t="s">
        <v>74</v>
      </c>
      <c r="R243" t="s">
        <v>74</v>
      </c>
      <c r="S243" t="s">
        <v>74</v>
      </c>
      <c r="T243" t="s">
        <v>4183</v>
      </c>
      <c r="U243" t="s">
        <v>4184</v>
      </c>
      <c r="V243" t="s">
        <v>4185</v>
      </c>
      <c r="W243" t="s">
        <v>4186</v>
      </c>
      <c r="X243" t="s">
        <v>4187</v>
      </c>
      <c r="Y243" t="s">
        <v>4188</v>
      </c>
      <c r="Z243" t="s">
        <v>4189</v>
      </c>
      <c r="AA243" t="s">
        <v>4190</v>
      </c>
      <c r="AB243" t="s">
        <v>4191</v>
      </c>
      <c r="AC243" t="s">
        <v>74</v>
      </c>
      <c r="AD243" t="s">
        <v>74</v>
      </c>
      <c r="AE243" t="s">
        <v>74</v>
      </c>
      <c r="AF243" t="s">
        <v>74</v>
      </c>
      <c r="AG243">
        <v>61</v>
      </c>
      <c r="AH243">
        <v>20</v>
      </c>
      <c r="AI243">
        <v>23</v>
      </c>
      <c r="AJ243">
        <v>1</v>
      </c>
      <c r="AK243">
        <v>15</v>
      </c>
      <c r="AL243" t="s">
        <v>2678</v>
      </c>
      <c r="AM243" t="s">
        <v>522</v>
      </c>
      <c r="AN243" t="s">
        <v>4192</v>
      </c>
      <c r="AO243" t="s">
        <v>4193</v>
      </c>
      <c r="AP243" t="s">
        <v>4194</v>
      </c>
      <c r="AQ243" t="s">
        <v>74</v>
      </c>
      <c r="AR243" t="s">
        <v>4195</v>
      </c>
      <c r="AS243" t="s">
        <v>4196</v>
      </c>
      <c r="AT243" t="s">
        <v>1490</v>
      </c>
      <c r="AU243">
        <v>2008</v>
      </c>
      <c r="AV243">
        <v>63</v>
      </c>
      <c r="AW243">
        <v>1</v>
      </c>
      <c r="AX243" t="s">
        <v>74</v>
      </c>
      <c r="AY243" t="s">
        <v>74</v>
      </c>
      <c r="AZ243" t="s">
        <v>74</v>
      </c>
      <c r="BA243" t="s">
        <v>74</v>
      </c>
      <c r="BB243">
        <v>12</v>
      </c>
      <c r="BC243">
        <v>22</v>
      </c>
      <c r="BD243" t="s">
        <v>74</v>
      </c>
      <c r="BE243" t="s">
        <v>4197</v>
      </c>
      <c r="BF243" t="str">
        <f>HYPERLINK("http://dx.doi.org/10.1111/j.1574-6941.2007.00407.x","http://dx.doi.org/10.1111/j.1574-6941.2007.00407.x")</f>
        <v>http://dx.doi.org/10.1111/j.1574-6941.2007.00407.x</v>
      </c>
      <c r="BG243" t="s">
        <v>74</v>
      </c>
      <c r="BH243" t="s">
        <v>74</v>
      </c>
      <c r="BI243">
        <v>11</v>
      </c>
      <c r="BJ243" t="s">
        <v>4198</v>
      </c>
      <c r="BK243" t="s">
        <v>97</v>
      </c>
      <c r="BL243" t="s">
        <v>4198</v>
      </c>
      <c r="BM243" t="s">
        <v>4199</v>
      </c>
      <c r="BN243">
        <v>18031540</v>
      </c>
      <c r="BO243" t="s">
        <v>179</v>
      </c>
      <c r="BP243" t="s">
        <v>74</v>
      </c>
      <c r="BQ243" t="s">
        <v>74</v>
      </c>
      <c r="BR243" t="s">
        <v>100</v>
      </c>
      <c r="BS243" t="s">
        <v>4200</v>
      </c>
      <c r="BT243" t="str">
        <f>HYPERLINK("https%3A%2F%2Fwww.webofscience.com%2Fwos%2Fwoscc%2Ffull-record%2FWOS:000251504000003","View Full Record in Web of Science")</f>
        <v>View Full Record in Web of Science</v>
      </c>
    </row>
    <row r="244" spans="1:72" x14ac:dyDescent="0.15">
      <c r="A244" t="s">
        <v>72</v>
      </c>
      <c r="B244" t="s">
        <v>4201</v>
      </c>
      <c r="C244" t="s">
        <v>74</v>
      </c>
      <c r="D244" t="s">
        <v>74</v>
      </c>
      <c r="E244" t="s">
        <v>74</v>
      </c>
      <c r="F244" t="s">
        <v>4202</v>
      </c>
      <c r="G244" t="s">
        <v>74</v>
      </c>
      <c r="H244" t="s">
        <v>74</v>
      </c>
      <c r="I244" t="s">
        <v>4203</v>
      </c>
      <c r="J244" t="s">
        <v>4204</v>
      </c>
      <c r="K244" t="s">
        <v>74</v>
      </c>
      <c r="L244" t="s">
        <v>74</v>
      </c>
      <c r="M244" t="s">
        <v>78</v>
      </c>
      <c r="N244" t="s">
        <v>79</v>
      </c>
      <c r="O244" t="s">
        <v>74</v>
      </c>
      <c r="P244" t="s">
        <v>74</v>
      </c>
      <c r="Q244" t="s">
        <v>74</v>
      </c>
      <c r="R244" t="s">
        <v>74</v>
      </c>
      <c r="S244" t="s">
        <v>74</v>
      </c>
      <c r="T244" t="s">
        <v>4205</v>
      </c>
      <c r="U244" t="s">
        <v>4206</v>
      </c>
      <c r="V244" t="s">
        <v>4207</v>
      </c>
      <c r="W244" t="s">
        <v>4208</v>
      </c>
      <c r="X244" t="s">
        <v>4209</v>
      </c>
      <c r="Y244" t="s">
        <v>4210</v>
      </c>
      <c r="Z244" t="s">
        <v>4211</v>
      </c>
      <c r="AA244" t="s">
        <v>4212</v>
      </c>
      <c r="AB244" t="s">
        <v>74</v>
      </c>
      <c r="AC244" t="s">
        <v>74</v>
      </c>
      <c r="AD244" t="s">
        <v>74</v>
      </c>
      <c r="AE244" t="s">
        <v>74</v>
      </c>
      <c r="AF244" t="s">
        <v>74</v>
      </c>
      <c r="AG244">
        <v>39</v>
      </c>
      <c r="AH244">
        <v>46</v>
      </c>
      <c r="AI244">
        <v>53</v>
      </c>
      <c r="AJ244">
        <v>1</v>
      </c>
      <c r="AK244">
        <v>18</v>
      </c>
      <c r="AL244" t="s">
        <v>1219</v>
      </c>
      <c r="AM244" t="s">
        <v>89</v>
      </c>
      <c r="AN244" t="s">
        <v>90</v>
      </c>
      <c r="AO244" t="s">
        <v>4213</v>
      </c>
      <c r="AP244" t="s">
        <v>4214</v>
      </c>
      <c r="AQ244" t="s">
        <v>74</v>
      </c>
      <c r="AR244" t="s">
        <v>4215</v>
      </c>
      <c r="AS244" t="s">
        <v>4216</v>
      </c>
      <c r="AT244" t="s">
        <v>74</v>
      </c>
      <c r="AU244">
        <v>2008</v>
      </c>
      <c r="AV244">
        <v>17</v>
      </c>
      <c r="AW244">
        <v>2</v>
      </c>
      <c r="AX244" t="s">
        <v>74</v>
      </c>
      <c r="AY244" t="s">
        <v>74</v>
      </c>
      <c r="AZ244" t="s">
        <v>74</v>
      </c>
      <c r="BA244" t="s">
        <v>74</v>
      </c>
      <c r="BB244">
        <v>126</v>
      </c>
      <c r="BC244">
        <v>136</v>
      </c>
      <c r="BD244" t="s">
        <v>74</v>
      </c>
      <c r="BE244" t="s">
        <v>4217</v>
      </c>
      <c r="BF244" t="str">
        <f>HYPERLINK("http://dx.doi.org/10.1111/j.1365-2419.2008.00469.x","http://dx.doi.org/10.1111/j.1365-2419.2008.00469.x")</f>
        <v>http://dx.doi.org/10.1111/j.1365-2419.2008.00469.x</v>
      </c>
      <c r="BG244" t="s">
        <v>74</v>
      </c>
      <c r="BH244" t="s">
        <v>74</v>
      </c>
      <c r="BI244">
        <v>11</v>
      </c>
      <c r="BJ244" t="s">
        <v>4218</v>
      </c>
      <c r="BK244" t="s">
        <v>97</v>
      </c>
      <c r="BL244" t="s">
        <v>4218</v>
      </c>
      <c r="BM244" t="s">
        <v>4219</v>
      </c>
      <c r="BN244" t="s">
        <v>74</v>
      </c>
      <c r="BO244" t="s">
        <v>74</v>
      </c>
      <c r="BP244" t="s">
        <v>74</v>
      </c>
      <c r="BQ244" t="s">
        <v>74</v>
      </c>
      <c r="BR244" t="s">
        <v>100</v>
      </c>
      <c r="BS244" t="s">
        <v>4220</v>
      </c>
      <c r="BT244" t="str">
        <f>HYPERLINK("https%3A%2F%2Fwww.webofscience.com%2Fwos%2Fwoscc%2Ffull-record%2FWOS:000254413700006","View Full Record in Web of Science")</f>
        <v>View Full Record in Web of Science</v>
      </c>
    </row>
    <row r="245" spans="1:72" x14ac:dyDescent="0.15">
      <c r="A245" t="s">
        <v>72</v>
      </c>
      <c r="B245" t="s">
        <v>4221</v>
      </c>
      <c r="C245" t="s">
        <v>74</v>
      </c>
      <c r="D245" t="s">
        <v>74</v>
      </c>
      <c r="E245" t="s">
        <v>74</v>
      </c>
      <c r="F245" t="s">
        <v>4222</v>
      </c>
      <c r="G245" t="s">
        <v>74</v>
      </c>
      <c r="H245" t="s">
        <v>74</v>
      </c>
      <c r="I245" t="s">
        <v>4223</v>
      </c>
      <c r="J245" t="s">
        <v>4224</v>
      </c>
      <c r="K245" t="s">
        <v>74</v>
      </c>
      <c r="L245" t="s">
        <v>74</v>
      </c>
      <c r="M245" t="s">
        <v>78</v>
      </c>
      <c r="N245" t="s">
        <v>79</v>
      </c>
      <c r="O245" t="s">
        <v>74</v>
      </c>
      <c r="P245" t="s">
        <v>74</v>
      </c>
      <c r="Q245" t="s">
        <v>74</v>
      </c>
      <c r="R245" t="s">
        <v>74</v>
      </c>
      <c r="S245" t="s">
        <v>74</v>
      </c>
      <c r="T245" t="s">
        <v>74</v>
      </c>
      <c r="U245" t="s">
        <v>4225</v>
      </c>
      <c r="V245" t="s">
        <v>4226</v>
      </c>
      <c r="W245" t="s">
        <v>4227</v>
      </c>
      <c r="X245" t="s">
        <v>4228</v>
      </c>
      <c r="Y245" t="s">
        <v>4229</v>
      </c>
      <c r="Z245" t="s">
        <v>4230</v>
      </c>
      <c r="AA245" t="s">
        <v>74</v>
      </c>
      <c r="AB245" t="s">
        <v>74</v>
      </c>
      <c r="AC245" t="s">
        <v>74</v>
      </c>
      <c r="AD245" t="s">
        <v>74</v>
      </c>
      <c r="AE245" t="s">
        <v>74</v>
      </c>
      <c r="AF245" t="s">
        <v>74</v>
      </c>
      <c r="AG245">
        <v>28</v>
      </c>
      <c r="AH245">
        <v>20</v>
      </c>
      <c r="AI245">
        <v>20</v>
      </c>
      <c r="AJ245">
        <v>0</v>
      </c>
      <c r="AK245">
        <v>1</v>
      </c>
      <c r="AL245" t="s">
        <v>1265</v>
      </c>
      <c r="AM245" t="s">
        <v>1317</v>
      </c>
      <c r="AN245" t="s">
        <v>2701</v>
      </c>
      <c r="AO245" t="s">
        <v>4231</v>
      </c>
      <c r="AP245" t="s">
        <v>74</v>
      </c>
      <c r="AQ245" t="s">
        <v>74</v>
      </c>
      <c r="AR245" t="s">
        <v>4232</v>
      </c>
      <c r="AS245" t="s">
        <v>4233</v>
      </c>
      <c r="AT245" t="s">
        <v>74</v>
      </c>
      <c r="AU245">
        <v>2008</v>
      </c>
      <c r="AV245">
        <v>53</v>
      </c>
      <c r="AW245">
        <v>1</v>
      </c>
      <c r="AX245" t="s">
        <v>74</v>
      </c>
      <c r="AY245" t="s">
        <v>74</v>
      </c>
      <c r="AZ245" t="s">
        <v>74</v>
      </c>
      <c r="BA245" t="s">
        <v>74</v>
      </c>
      <c r="BB245">
        <v>29</v>
      </c>
      <c r="BC245">
        <v>34</v>
      </c>
      <c r="BD245" t="s">
        <v>74</v>
      </c>
      <c r="BE245" t="s">
        <v>4234</v>
      </c>
      <c r="BF245" t="str">
        <f>HYPERLINK("http://dx.doi.org/10.1007/s12223-008-0004-3","http://dx.doi.org/10.1007/s12223-008-0004-3")</f>
        <v>http://dx.doi.org/10.1007/s12223-008-0004-3</v>
      </c>
      <c r="BG245" t="s">
        <v>74</v>
      </c>
      <c r="BH245" t="s">
        <v>74</v>
      </c>
      <c r="BI245">
        <v>6</v>
      </c>
      <c r="BJ245" t="s">
        <v>1925</v>
      </c>
      <c r="BK245" t="s">
        <v>97</v>
      </c>
      <c r="BL245" t="s">
        <v>1925</v>
      </c>
      <c r="BM245" t="s">
        <v>4235</v>
      </c>
      <c r="BN245">
        <v>18481215</v>
      </c>
      <c r="BO245" t="s">
        <v>74</v>
      </c>
      <c r="BP245" t="s">
        <v>74</v>
      </c>
      <c r="BQ245" t="s">
        <v>74</v>
      </c>
      <c r="BR245" t="s">
        <v>100</v>
      </c>
      <c r="BS245" t="s">
        <v>4236</v>
      </c>
      <c r="BT245" t="str">
        <f>HYPERLINK("https%3A%2F%2Fwww.webofscience.com%2Fwos%2Fwoscc%2Ffull-record%2FWOS:000254752900004","View Full Record in Web of Science")</f>
        <v>View Full Record in Web of Science</v>
      </c>
    </row>
    <row r="246" spans="1:72" x14ac:dyDescent="0.15">
      <c r="A246" t="s">
        <v>816</v>
      </c>
      <c r="B246" t="s">
        <v>4237</v>
      </c>
      <c r="C246" t="s">
        <v>74</v>
      </c>
      <c r="D246" t="s">
        <v>4238</v>
      </c>
      <c r="E246" t="s">
        <v>74</v>
      </c>
      <c r="F246" t="s">
        <v>4239</v>
      </c>
      <c r="G246" t="s">
        <v>74</v>
      </c>
      <c r="H246" t="s">
        <v>74</v>
      </c>
      <c r="I246" t="s">
        <v>4240</v>
      </c>
      <c r="J246" t="s">
        <v>4241</v>
      </c>
      <c r="K246" t="s">
        <v>4242</v>
      </c>
      <c r="L246" t="s">
        <v>74</v>
      </c>
      <c r="M246" t="s">
        <v>78</v>
      </c>
      <c r="N246" t="s">
        <v>823</v>
      </c>
      <c r="O246" t="s">
        <v>4243</v>
      </c>
      <c r="P246" t="s">
        <v>4244</v>
      </c>
      <c r="Q246" t="s">
        <v>4245</v>
      </c>
      <c r="R246" t="s">
        <v>74</v>
      </c>
      <c r="S246" t="s">
        <v>4246</v>
      </c>
      <c r="T246" t="s">
        <v>74</v>
      </c>
      <c r="U246" t="s">
        <v>4247</v>
      </c>
      <c r="V246" t="s">
        <v>4248</v>
      </c>
      <c r="W246" t="s">
        <v>4249</v>
      </c>
      <c r="X246" t="s">
        <v>4250</v>
      </c>
      <c r="Y246" t="s">
        <v>4251</v>
      </c>
      <c r="Z246" t="s">
        <v>4252</v>
      </c>
      <c r="AA246" t="s">
        <v>4253</v>
      </c>
      <c r="AB246" t="s">
        <v>4254</v>
      </c>
      <c r="AC246" t="s">
        <v>74</v>
      </c>
      <c r="AD246" t="s">
        <v>74</v>
      </c>
      <c r="AE246" t="s">
        <v>74</v>
      </c>
      <c r="AF246" t="s">
        <v>74</v>
      </c>
      <c r="AG246">
        <v>7</v>
      </c>
      <c r="AH246">
        <v>15</v>
      </c>
      <c r="AI246">
        <v>16</v>
      </c>
      <c r="AJ246">
        <v>0</v>
      </c>
      <c r="AK246">
        <v>7</v>
      </c>
      <c r="AL246" t="s">
        <v>4255</v>
      </c>
      <c r="AM246" t="s">
        <v>1241</v>
      </c>
      <c r="AN246" t="s">
        <v>4256</v>
      </c>
      <c r="AO246" t="s">
        <v>4257</v>
      </c>
      <c r="AP246" t="s">
        <v>74</v>
      </c>
      <c r="AQ246" t="s">
        <v>4258</v>
      </c>
      <c r="AR246" t="s">
        <v>4259</v>
      </c>
      <c r="AS246" t="s">
        <v>74</v>
      </c>
      <c r="AT246" t="s">
        <v>74</v>
      </c>
      <c r="AU246">
        <v>2008</v>
      </c>
      <c r="AV246" t="s">
        <v>74</v>
      </c>
      <c r="AW246" t="s">
        <v>74</v>
      </c>
      <c r="AX246" t="s">
        <v>74</v>
      </c>
      <c r="AY246" t="s">
        <v>74</v>
      </c>
      <c r="AZ246" t="s">
        <v>74</v>
      </c>
      <c r="BA246" t="s">
        <v>74</v>
      </c>
      <c r="BB246">
        <v>237</v>
      </c>
      <c r="BC246" t="s">
        <v>865</v>
      </c>
      <c r="BD246" t="s">
        <v>74</v>
      </c>
      <c r="BE246" t="s">
        <v>4260</v>
      </c>
      <c r="BF246" t="str">
        <f>HYPERLINK("http://dx.doi.org/10.1007/978-3-7908-2062-1_36","http://dx.doi.org/10.1007/978-3-7908-2062-1_36")</f>
        <v>http://dx.doi.org/10.1007/978-3-7908-2062-1_36</v>
      </c>
      <c r="BG246" t="s">
        <v>74</v>
      </c>
      <c r="BH246" t="s">
        <v>74</v>
      </c>
      <c r="BI246">
        <v>2</v>
      </c>
      <c r="BJ246" t="s">
        <v>4261</v>
      </c>
      <c r="BK246" t="s">
        <v>842</v>
      </c>
      <c r="BL246" t="s">
        <v>4262</v>
      </c>
      <c r="BM246" t="s">
        <v>4263</v>
      </c>
      <c r="BN246" t="s">
        <v>74</v>
      </c>
      <c r="BO246" t="s">
        <v>74</v>
      </c>
      <c r="BP246" t="s">
        <v>74</v>
      </c>
      <c r="BQ246" t="s">
        <v>74</v>
      </c>
      <c r="BR246" t="s">
        <v>100</v>
      </c>
      <c r="BS246" t="s">
        <v>4264</v>
      </c>
      <c r="BT246" t="str">
        <f>HYPERLINK("https%3A%2F%2Fwww.webofscience.com%2Fwos%2Fwoscc%2Ffull-record%2FWOS:000258056000036","View Full Record in Web of Science")</f>
        <v>View Full Record in Web of Science</v>
      </c>
    </row>
    <row r="247" spans="1:72" x14ac:dyDescent="0.15">
      <c r="A247" t="s">
        <v>72</v>
      </c>
      <c r="B247" t="s">
        <v>4265</v>
      </c>
      <c r="C247" t="s">
        <v>74</v>
      </c>
      <c r="D247" t="s">
        <v>74</v>
      </c>
      <c r="E247" t="s">
        <v>74</v>
      </c>
      <c r="F247" t="s">
        <v>4266</v>
      </c>
      <c r="G247" t="s">
        <v>74</v>
      </c>
      <c r="H247" t="s">
        <v>74</v>
      </c>
      <c r="I247" t="s">
        <v>4267</v>
      </c>
      <c r="J247" t="s">
        <v>4268</v>
      </c>
      <c r="K247" t="s">
        <v>74</v>
      </c>
      <c r="L247" t="s">
        <v>74</v>
      </c>
      <c r="M247" t="s">
        <v>78</v>
      </c>
      <c r="N247" t="s">
        <v>106</v>
      </c>
      <c r="O247" t="s">
        <v>74</v>
      </c>
      <c r="P247" t="s">
        <v>74</v>
      </c>
      <c r="Q247" t="s">
        <v>74</v>
      </c>
      <c r="R247" t="s">
        <v>74</v>
      </c>
      <c r="S247" t="s">
        <v>74</v>
      </c>
      <c r="T247" t="s">
        <v>4269</v>
      </c>
      <c r="U247" t="s">
        <v>4270</v>
      </c>
      <c r="V247" t="s">
        <v>4271</v>
      </c>
      <c r="W247" t="s">
        <v>4272</v>
      </c>
      <c r="X247" t="s">
        <v>4273</v>
      </c>
      <c r="Y247" t="s">
        <v>4274</v>
      </c>
      <c r="Z247" t="s">
        <v>4275</v>
      </c>
      <c r="AA247" t="s">
        <v>4276</v>
      </c>
      <c r="AB247" t="s">
        <v>4277</v>
      </c>
      <c r="AC247" t="s">
        <v>4278</v>
      </c>
      <c r="AD247" t="s">
        <v>4279</v>
      </c>
      <c r="AE247" t="s">
        <v>4280</v>
      </c>
      <c r="AF247" t="s">
        <v>74</v>
      </c>
      <c r="AG247">
        <v>101</v>
      </c>
      <c r="AH247">
        <v>28</v>
      </c>
      <c r="AI247">
        <v>32</v>
      </c>
      <c r="AJ247">
        <v>0</v>
      </c>
      <c r="AK247">
        <v>11</v>
      </c>
      <c r="AL247" t="s">
        <v>4281</v>
      </c>
      <c r="AM247" t="s">
        <v>4282</v>
      </c>
      <c r="AN247" t="s">
        <v>4283</v>
      </c>
      <c r="AO247" t="s">
        <v>4284</v>
      </c>
      <c r="AP247" t="s">
        <v>74</v>
      </c>
      <c r="AQ247" t="s">
        <v>74</v>
      </c>
      <c r="AR247" t="s">
        <v>4268</v>
      </c>
      <c r="AS247" t="s">
        <v>4285</v>
      </c>
      <c r="AT247" t="s">
        <v>74</v>
      </c>
      <c r="AU247">
        <v>2008</v>
      </c>
      <c r="AV247">
        <v>72</v>
      </c>
      <c r="AW247">
        <v>2</v>
      </c>
      <c r="AX247" t="s">
        <v>74</v>
      </c>
      <c r="AY247" t="s">
        <v>74</v>
      </c>
      <c r="AZ247" t="s">
        <v>74</v>
      </c>
      <c r="BA247" t="s">
        <v>74</v>
      </c>
      <c r="BB247">
        <v>202</v>
      </c>
      <c r="BC247">
        <v>240</v>
      </c>
      <c r="BD247" t="s">
        <v>74</v>
      </c>
      <c r="BE247" t="s">
        <v>74</v>
      </c>
      <c r="BF247" t="s">
        <v>74</v>
      </c>
      <c r="BG247" t="s">
        <v>74</v>
      </c>
      <c r="BH247" t="s">
        <v>74</v>
      </c>
      <c r="BI247">
        <v>39</v>
      </c>
      <c r="BJ247" t="s">
        <v>4286</v>
      </c>
      <c r="BK247" t="s">
        <v>97</v>
      </c>
      <c r="BL247" t="s">
        <v>4286</v>
      </c>
      <c r="BM247" t="s">
        <v>4287</v>
      </c>
      <c r="BN247" t="s">
        <v>74</v>
      </c>
      <c r="BO247" t="s">
        <v>74</v>
      </c>
      <c r="BP247" t="s">
        <v>74</v>
      </c>
      <c r="BQ247" t="s">
        <v>74</v>
      </c>
      <c r="BR247" t="s">
        <v>100</v>
      </c>
      <c r="BS247" t="s">
        <v>4288</v>
      </c>
      <c r="BT247" t="str">
        <f>HYPERLINK("https%3A%2F%2Fwww.webofscience.com%2Fwos%2Fwoscc%2Ffull-record%2FWOS:000262269100010","View Full Record in Web of Science")</f>
        <v>View Full Record in Web of Science</v>
      </c>
    </row>
    <row r="248" spans="1:72" x14ac:dyDescent="0.15">
      <c r="A248" t="s">
        <v>1199</v>
      </c>
      <c r="B248" t="s">
        <v>4289</v>
      </c>
      <c r="C248" t="s">
        <v>74</v>
      </c>
      <c r="D248" t="s">
        <v>4290</v>
      </c>
      <c r="E248" t="s">
        <v>74</v>
      </c>
      <c r="F248" t="s">
        <v>4291</v>
      </c>
      <c r="G248" t="s">
        <v>74</v>
      </c>
      <c r="H248" t="s">
        <v>74</v>
      </c>
      <c r="I248" t="s">
        <v>4292</v>
      </c>
      <c r="J248" t="s">
        <v>4293</v>
      </c>
      <c r="K248" t="s">
        <v>4294</v>
      </c>
      <c r="L248" t="s">
        <v>74</v>
      </c>
      <c r="M248" t="s">
        <v>78</v>
      </c>
      <c r="N248" t="s">
        <v>1524</v>
      </c>
      <c r="O248" t="s">
        <v>74</v>
      </c>
      <c r="P248" t="s">
        <v>74</v>
      </c>
      <c r="Q248" t="s">
        <v>74</v>
      </c>
      <c r="R248" t="s">
        <v>74</v>
      </c>
      <c r="S248" t="s">
        <v>74</v>
      </c>
      <c r="T248" t="s">
        <v>74</v>
      </c>
      <c r="U248" t="s">
        <v>4295</v>
      </c>
      <c r="V248" t="s">
        <v>4296</v>
      </c>
      <c r="W248" t="s">
        <v>4297</v>
      </c>
      <c r="X248" t="s">
        <v>4298</v>
      </c>
      <c r="Y248" t="s">
        <v>4299</v>
      </c>
      <c r="Z248" t="s">
        <v>4300</v>
      </c>
      <c r="AA248" t="s">
        <v>4301</v>
      </c>
      <c r="AB248" t="s">
        <v>4302</v>
      </c>
      <c r="AC248" t="s">
        <v>74</v>
      </c>
      <c r="AD248" t="s">
        <v>74</v>
      </c>
      <c r="AE248" t="s">
        <v>74</v>
      </c>
      <c r="AF248" t="s">
        <v>74</v>
      </c>
      <c r="AG248">
        <v>116</v>
      </c>
      <c r="AH248">
        <v>20</v>
      </c>
      <c r="AI248">
        <v>20</v>
      </c>
      <c r="AJ248">
        <v>0</v>
      </c>
      <c r="AK248">
        <v>3</v>
      </c>
      <c r="AL248" t="s">
        <v>4303</v>
      </c>
      <c r="AM248" t="s">
        <v>4304</v>
      </c>
      <c r="AN248" t="s">
        <v>4305</v>
      </c>
      <c r="AO248" t="s">
        <v>4306</v>
      </c>
      <c r="AP248" t="s">
        <v>74</v>
      </c>
      <c r="AQ248" t="s">
        <v>4307</v>
      </c>
      <c r="AR248" t="s">
        <v>4308</v>
      </c>
      <c r="AS248" t="s">
        <v>4309</v>
      </c>
      <c r="AT248" t="s">
        <v>74</v>
      </c>
      <c r="AU248">
        <v>2008</v>
      </c>
      <c r="AV248">
        <v>308</v>
      </c>
      <c r="AW248" t="s">
        <v>74</v>
      </c>
      <c r="AX248" t="s">
        <v>74</v>
      </c>
      <c r="AY248" t="s">
        <v>74</v>
      </c>
      <c r="AZ248" t="s">
        <v>74</v>
      </c>
      <c r="BA248" t="s">
        <v>74</v>
      </c>
      <c r="BB248">
        <v>1</v>
      </c>
      <c r="BC248">
        <v>20</v>
      </c>
      <c r="BD248" t="s">
        <v>74</v>
      </c>
      <c r="BE248" t="s">
        <v>4310</v>
      </c>
      <c r="BF248" t="str">
        <f>HYPERLINK("http://dx.doi.org/10.1144/SP308.1","http://dx.doi.org/10.1144/SP308.1")</f>
        <v>http://dx.doi.org/10.1144/SP308.1</v>
      </c>
      <c r="BG248" t="s">
        <v>74</v>
      </c>
      <c r="BH248" t="s">
        <v>74</v>
      </c>
      <c r="BI248">
        <v>20</v>
      </c>
      <c r="BJ248" t="s">
        <v>98</v>
      </c>
      <c r="BK248" t="s">
        <v>1537</v>
      </c>
      <c r="BL248" t="s">
        <v>98</v>
      </c>
      <c r="BM248" t="s">
        <v>4311</v>
      </c>
      <c r="BN248" t="s">
        <v>74</v>
      </c>
      <c r="BO248" t="s">
        <v>74</v>
      </c>
      <c r="BP248" t="s">
        <v>74</v>
      </c>
      <c r="BQ248" t="s">
        <v>74</v>
      </c>
      <c r="BR248" t="s">
        <v>100</v>
      </c>
      <c r="BS248" t="s">
        <v>4312</v>
      </c>
      <c r="BT248" t="str">
        <f>HYPERLINK("https%3A%2F%2Fwww.webofscience.com%2Fwos%2Fwoscc%2Ffull-record%2FWOS:000267258500001","View Full Record in Web of Science")</f>
        <v>View Full Record in Web of Science</v>
      </c>
    </row>
    <row r="249" spans="1:72" x14ac:dyDescent="0.15">
      <c r="A249" t="s">
        <v>1199</v>
      </c>
      <c r="B249" t="s">
        <v>4313</v>
      </c>
      <c r="C249" t="s">
        <v>74</v>
      </c>
      <c r="D249" t="s">
        <v>4290</v>
      </c>
      <c r="E249" t="s">
        <v>74</v>
      </c>
      <c r="F249" t="s">
        <v>4314</v>
      </c>
      <c r="G249" t="s">
        <v>74</v>
      </c>
      <c r="H249" t="s">
        <v>74</v>
      </c>
      <c r="I249" t="s">
        <v>4315</v>
      </c>
      <c r="J249" t="s">
        <v>4293</v>
      </c>
      <c r="K249" t="s">
        <v>4294</v>
      </c>
      <c r="L249" t="s">
        <v>74</v>
      </c>
      <c r="M249" t="s">
        <v>78</v>
      </c>
      <c r="N249" t="s">
        <v>1524</v>
      </c>
      <c r="O249" t="s">
        <v>74</v>
      </c>
      <c r="P249" t="s">
        <v>74</v>
      </c>
      <c r="Q249" t="s">
        <v>74</v>
      </c>
      <c r="R249" t="s">
        <v>74</v>
      </c>
      <c r="S249" t="s">
        <v>74</v>
      </c>
      <c r="T249" t="s">
        <v>74</v>
      </c>
      <c r="U249" t="s">
        <v>4316</v>
      </c>
      <c r="V249" t="s">
        <v>4317</v>
      </c>
      <c r="W249" t="s">
        <v>4318</v>
      </c>
      <c r="X249" t="s">
        <v>4319</v>
      </c>
      <c r="Y249" t="s">
        <v>758</v>
      </c>
      <c r="Z249" t="s">
        <v>759</v>
      </c>
      <c r="AA249" t="s">
        <v>4320</v>
      </c>
      <c r="AB249" t="s">
        <v>4321</v>
      </c>
      <c r="AC249" t="s">
        <v>74</v>
      </c>
      <c r="AD249" t="s">
        <v>74</v>
      </c>
      <c r="AE249" t="s">
        <v>74</v>
      </c>
      <c r="AF249" t="s">
        <v>74</v>
      </c>
      <c r="AG249">
        <v>58</v>
      </c>
      <c r="AH249">
        <v>80</v>
      </c>
      <c r="AI249">
        <v>85</v>
      </c>
      <c r="AJ249">
        <v>0</v>
      </c>
      <c r="AK249">
        <v>1</v>
      </c>
      <c r="AL249" t="s">
        <v>4303</v>
      </c>
      <c r="AM249" t="s">
        <v>4304</v>
      </c>
      <c r="AN249" t="s">
        <v>4305</v>
      </c>
      <c r="AO249" t="s">
        <v>4306</v>
      </c>
      <c r="AP249" t="s">
        <v>74</v>
      </c>
      <c r="AQ249" t="s">
        <v>4307</v>
      </c>
      <c r="AR249" t="s">
        <v>4308</v>
      </c>
      <c r="AS249" t="s">
        <v>4309</v>
      </c>
      <c r="AT249" t="s">
        <v>74</v>
      </c>
      <c r="AU249">
        <v>2008</v>
      </c>
      <c r="AV249">
        <v>308</v>
      </c>
      <c r="AW249" t="s">
        <v>74</v>
      </c>
      <c r="AX249" t="s">
        <v>74</v>
      </c>
      <c r="AY249" t="s">
        <v>74</v>
      </c>
      <c r="AZ249" t="s">
        <v>74</v>
      </c>
      <c r="BA249" t="s">
        <v>74</v>
      </c>
      <c r="BB249">
        <v>69</v>
      </c>
      <c r="BC249">
        <v>90</v>
      </c>
      <c r="BD249" t="s">
        <v>74</v>
      </c>
      <c r="BE249" t="s">
        <v>4322</v>
      </c>
      <c r="BF249" t="str">
        <f>HYPERLINK("http://dx.doi.org/10.1144/SP308.3","http://dx.doi.org/10.1144/SP308.3")</f>
        <v>http://dx.doi.org/10.1144/SP308.3</v>
      </c>
      <c r="BG249" t="s">
        <v>74</v>
      </c>
      <c r="BH249" t="s">
        <v>74</v>
      </c>
      <c r="BI249">
        <v>22</v>
      </c>
      <c r="BJ249" t="s">
        <v>98</v>
      </c>
      <c r="BK249" t="s">
        <v>1537</v>
      </c>
      <c r="BL249" t="s">
        <v>98</v>
      </c>
      <c r="BM249" t="s">
        <v>4311</v>
      </c>
      <c r="BN249" t="s">
        <v>74</v>
      </c>
      <c r="BO249" t="s">
        <v>74</v>
      </c>
      <c r="BP249" t="s">
        <v>74</v>
      </c>
      <c r="BQ249" t="s">
        <v>74</v>
      </c>
      <c r="BR249" t="s">
        <v>100</v>
      </c>
      <c r="BS249" t="s">
        <v>4323</v>
      </c>
      <c r="BT249" t="str">
        <f>HYPERLINK("https%3A%2F%2Fwww.webofscience.com%2Fwos%2Fwoscc%2Ffull-record%2FWOS:000267258500003","View Full Record in Web of Science")</f>
        <v>View Full Record in Web of Science</v>
      </c>
    </row>
    <row r="250" spans="1:72" x14ac:dyDescent="0.15">
      <c r="A250" t="s">
        <v>1199</v>
      </c>
      <c r="B250" t="s">
        <v>4324</v>
      </c>
      <c r="C250" t="s">
        <v>74</v>
      </c>
      <c r="D250" t="s">
        <v>4290</v>
      </c>
      <c r="E250" t="s">
        <v>74</v>
      </c>
      <c r="F250" t="s">
        <v>4325</v>
      </c>
      <c r="G250" t="s">
        <v>74</v>
      </c>
      <c r="H250" t="s">
        <v>74</v>
      </c>
      <c r="I250" t="s">
        <v>4326</v>
      </c>
      <c r="J250" t="s">
        <v>4293</v>
      </c>
      <c r="K250" t="s">
        <v>4294</v>
      </c>
      <c r="L250" t="s">
        <v>74</v>
      </c>
      <c r="M250" t="s">
        <v>78</v>
      </c>
      <c r="N250" t="s">
        <v>1524</v>
      </c>
      <c r="O250" t="s">
        <v>74</v>
      </c>
      <c r="P250" t="s">
        <v>74</v>
      </c>
      <c r="Q250" t="s">
        <v>74</v>
      </c>
      <c r="R250" t="s">
        <v>74</v>
      </c>
      <c r="S250" t="s">
        <v>74</v>
      </c>
      <c r="T250" t="s">
        <v>74</v>
      </c>
      <c r="U250" t="s">
        <v>4327</v>
      </c>
      <c r="V250" t="s">
        <v>4328</v>
      </c>
      <c r="W250" t="s">
        <v>4329</v>
      </c>
      <c r="X250" t="s">
        <v>4330</v>
      </c>
      <c r="Y250" t="s">
        <v>4331</v>
      </c>
      <c r="Z250" t="s">
        <v>4332</v>
      </c>
      <c r="AA250" t="s">
        <v>74</v>
      </c>
      <c r="AB250" t="s">
        <v>74</v>
      </c>
      <c r="AC250" t="s">
        <v>74</v>
      </c>
      <c r="AD250" t="s">
        <v>74</v>
      </c>
      <c r="AE250" t="s">
        <v>74</v>
      </c>
      <c r="AF250" t="s">
        <v>74</v>
      </c>
      <c r="AG250">
        <v>124</v>
      </c>
      <c r="AH250">
        <v>5</v>
      </c>
      <c r="AI250">
        <v>5</v>
      </c>
      <c r="AJ250">
        <v>0</v>
      </c>
      <c r="AK250">
        <v>0</v>
      </c>
      <c r="AL250" t="s">
        <v>4303</v>
      </c>
      <c r="AM250" t="s">
        <v>4304</v>
      </c>
      <c r="AN250" t="s">
        <v>4305</v>
      </c>
      <c r="AO250" t="s">
        <v>4306</v>
      </c>
      <c r="AP250" t="s">
        <v>74</v>
      </c>
      <c r="AQ250" t="s">
        <v>4307</v>
      </c>
      <c r="AR250" t="s">
        <v>4308</v>
      </c>
      <c r="AS250" t="s">
        <v>4309</v>
      </c>
      <c r="AT250" t="s">
        <v>74</v>
      </c>
      <c r="AU250">
        <v>2008</v>
      </c>
      <c r="AV250">
        <v>308</v>
      </c>
      <c r="AW250" t="s">
        <v>74</v>
      </c>
      <c r="AX250" t="s">
        <v>74</v>
      </c>
      <c r="AY250" t="s">
        <v>74</v>
      </c>
      <c r="AZ250" t="s">
        <v>74</v>
      </c>
      <c r="BA250" t="s">
        <v>74</v>
      </c>
      <c r="BB250">
        <v>121</v>
      </c>
      <c r="BC250">
        <v>138</v>
      </c>
      <c r="BD250" t="s">
        <v>74</v>
      </c>
      <c r="BE250" t="s">
        <v>4333</v>
      </c>
      <c r="BF250" t="str">
        <f>HYPERLINK("http://dx.doi.org/10.1144/SP308.5","http://dx.doi.org/10.1144/SP308.5")</f>
        <v>http://dx.doi.org/10.1144/SP308.5</v>
      </c>
      <c r="BG250" t="s">
        <v>74</v>
      </c>
      <c r="BH250" t="s">
        <v>74</v>
      </c>
      <c r="BI250">
        <v>18</v>
      </c>
      <c r="BJ250" t="s">
        <v>98</v>
      </c>
      <c r="BK250" t="s">
        <v>1537</v>
      </c>
      <c r="BL250" t="s">
        <v>98</v>
      </c>
      <c r="BM250" t="s">
        <v>4311</v>
      </c>
      <c r="BN250" t="s">
        <v>74</v>
      </c>
      <c r="BO250" t="s">
        <v>74</v>
      </c>
      <c r="BP250" t="s">
        <v>74</v>
      </c>
      <c r="BQ250" t="s">
        <v>74</v>
      </c>
      <c r="BR250" t="s">
        <v>100</v>
      </c>
      <c r="BS250" t="s">
        <v>4334</v>
      </c>
      <c r="BT250" t="str">
        <f>HYPERLINK("https%3A%2F%2Fwww.webofscience.com%2Fwos%2Fwoscc%2Ffull-record%2FWOS:000267258500005","View Full Record in Web of Science")</f>
        <v>View Full Record in Web of Science</v>
      </c>
    </row>
    <row r="251" spans="1:72" x14ac:dyDescent="0.15">
      <c r="A251" t="s">
        <v>72</v>
      </c>
      <c r="B251" t="s">
        <v>4335</v>
      </c>
      <c r="C251" t="s">
        <v>74</v>
      </c>
      <c r="D251" t="s">
        <v>74</v>
      </c>
      <c r="E251" t="s">
        <v>74</v>
      </c>
      <c r="F251" t="s">
        <v>4336</v>
      </c>
      <c r="G251" t="s">
        <v>74</v>
      </c>
      <c r="H251" t="s">
        <v>74</v>
      </c>
      <c r="I251" t="s">
        <v>4337</v>
      </c>
      <c r="J251" t="s">
        <v>4338</v>
      </c>
      <c r="K251" t="s">
        <v>74</v>
      </c>
      <c r="L251" t="s">
        <v>74</v>
      </c>
      <c r="M251" t="s">
        <v>78</v>
      </c>
      <c r="N251" t="s">
        <v>79</v>
      </c>
      <c r="O251" t="s">
        <v>74</v>
      </c>
      <c r="P251" t="s">
        <v>74</v>
      </c>
      <c r="Q251" t="s">
        <v>74</v>
      </c>
      <c r="R251" t="s">
        <v>74</v>
      </c>
      <c r="S251" t="s">
        <v>74</v>
      </c>
      <c r="T251" t="s">
        <v>4339</v>
      </c>
      <c r="U251" t="s">
        <v>4340</v>
      </c>
      <c r="V251" t="s">
        <v>4341</v>
      </c>
      <c r="W251" t="s">
        <v>4342</v>
      </c>
      <c r="X251" t="s">
        <v>74</v>
      </c>
      <c r="Y251" t="s">
        <v>4343</v>
      </c>
      <c r="Z251" t="s">
        <v>4344</v>
      </c>
      <c r="AA251" t="s">
        <v>74</v>
      </c>
      <c r="AB251" t="s">
        <v>74</v>
      </c>
      <c r="AC251" t="s">
        <v>74</v>
      </c>
      <c r="AD251" t="s">
        <v>74</v>
      </c>
      <c r="AE251" t="s">
        <v>74</v>
      </c>
      <c r="AF251" t="s">
        <v>74</v>
      </c>
      <c r="AG251">
        <v>59</v>
      </c>
      <c r="AH251">
        <v>6</v>
      </c>
      <c r="AI251">
        <v>6</v>
      </c>
      <c r="AJ251">
        <v>0</v>
      </c>
      <c r="AK251">
        <v>4</v>
      </c>
      <c r="AL251" t="s">
        <v>88</v>
      </c>
      <c r="AM251" t="s">
        <v>89</v>
      </c>
      <c r="AN251" t="s">
        <v>90</v>
      </c>
      <c r="AO251" t="s">
        <v>4345</v>
      </c>
      <c r="AP251" t="s">
        <v>4346</v>
      </c>
      <c r="AQ251" t="s">
        <v>74</v>
      </c>
      <c r="AR251" t="s">
        <v>4347</v>
      </c>
      <c r="AS251" t="s">
        <v>4348</v>
      </c>
      <c r="AT251" t="s">
        <v>74</v>
      </c>
      <c r="AU251">
        <v>2008</v>
      </c>
      <c r="AV251" t="s">
        <v>4349</v>
      </c>
      <c r="AW251">
        <v>2</v>
      </c>
      <c r="AX251" t="s">
        <v>74</v>
      </c>
      <c r="AY251" t="s">
        <v>74</v>
      </c>
      <c r="AZ251" t="s">
        <v>74</v>
      </c>
      <c r="BA251" t="s">
        <v>74</v>
      </c>
      <c r="BB251">
        <v>125</v>
      </c>
      <c r="BC251">
        <v>140</v>
      </c>
      <c r="BD251" t="s">
        <v>74</v>
      </c>
      <c r="BE251" t="s">
        <v>4350</v>
      </c>
      <c r="BF251" t="str">
        <f>HYPERLINK("http://dx.doi.org/10.1111/j.1468-0459.2008.00107.x","http://dx.doi.org/10.1111/j.1468-0459.2008.00107.x")</f>
        <v>http://dx.doi.org/10.1111/j.1468-0459.2008.00107.x</v>
      </c>
      <c r="BG251" t="s">
        <v>74</v>
      </c>
      <c r="BH251" t="s">
        <v>74</v>
      </c>
      <c r="BI251">
        <v>16</v>
      </c>
      <c r="BJ251" t="s">
        <v>4351</v>
      </c>
      <c r="BK251" t="s">
        <v>97</v>
      </c>
      <c r="BL251" t="s">
        <v>2749</v>
      </c>
      <c r="BM251" t="s">
        <v>4352</v>
      </c>
      <c r="BN251" t="s">
        <v>74</v>
      </c>
      <c r="BO251" t="s">
        <v>74</v>
      </c>
      <c r="BP251" t="s">
        <v>74</v>
      </c>
      <c r="BQ251" t="s">
        <v>74</v>
      </c>
      <c r="BR251" t="s">
        <v>100</v>
      </c>
      <c r="BS251" t="s">
        <v>4353</v>
      </c>
      <c r="BT251" t="str">
        <f>HYPERLINK("https%3A%2F%2Fwww.webofscience.com%2Fwos%2Fwoscc%2Ffull-record%2FWOS:000256409600002","View Full Record in Web of Science")</f>
        <v>View Full Record in Web of Science</v>
      </c>
    </row>
    <row r="252" spans="1:72" x14ac:dyDescent="0.15">
      <c r="A252" t="s">
        <v>72</v>
      </c>
      <c r="B252" t="s">
        <v>4354</v>
      </c>
      <c r="C252" t="s">
        <v>74</v>
      </c>
      <c r="D252" t="s">
        <v>74</v>
      </c>
      <c r="E252" t="s">
        <v>74</v>
      </c>
      <c r="F252" t="s">
        <v>4355</v>
      </c>
      <c r="G252" t="s">
        <v>74</v>
      </c>
      <c r="H252" t="s">
        <v>74</v>
      </c>
      <c r="I252" t="s">
        <v>4356</v>
      </c>
      <c r="J252" t="s">
        <v>4338</v>
      </c>
      <c r="K252" t="s">
        <v>74</v>
      </c>
      <c r="L252" t="s">
        <v>74</v>
      </c>
      <c r="M252" t="s">
        <v>78</v>
      </c>
      <c r="N252" t="s">
        <v>79</v>
      </c>
      <c r="O252" t="s">
        <v>74</v>
      </c>
      <c r="P252" t="s">
        <v>74</v>
      </c>
      <c r="Q252" t="s">
        <v>74</v>
      </c>
      <c r="R252" t="s">
        <v>74</v>
      </c>
      <c r="S252" t="s">
        <v>74</v>
      </c>
      <c r="T252" t="s">
        <v>4357</v>
      </c>
      <c r="U252" t="s">
        <v>4358</v>
      </c>
      <c r="V252" t="s">
        <v>4359</v>
      </c>
      <c r="W252" t="s">
        <v>4360</v>
      </c>
      <c r="X252" t="s">
        <v>4361</v>
      </c>
      <c r="Y252" t="s">
        <v>4362</v>
      </c>
      <c r="Z252" t="s">
        <v>4363</v>
      </c>
      <c r="AA252" t="s">
        <v>74</v>
      </c>
      <c r="AB252" t="s">
        <v>74</v>
      </c>
      <c r="AC252" t="s">
        <v>4364</v>
      </c>
      <c r="AD252" t="s">
        <v>4365</v>
      </c>
      <c r="AE252" t="s">
        <v>4366</v>
      </c>
      <c r="AF252" t="s">
        <v>74</v>
      </c>
      <c r="AG252">
        <v>37</v>
      </c>
      <c r="AH252">
        <v>6</v>
      </c>
      <c r="AI252">
        <v>9</v>
      </c>
      <c r="AJ252">
        <v>0</v>
      </c>
      <c r="AK252">
        <v>7</v>
      </c>
      <c r="AL252" t="s">
        <v>1219</v>
      </c>
      <c r="AM252" t="s">
        <v>89</v>
      </c>
      <c r="AN252" t="s">
        <v>90</v>
      </c>
      <c r="AO252" t="s">
        <v>4345</v>
      </c>
      <c r="AP252" t="s">
        <v>4346</v>
      </c>
      <c r="AQ252" t="s">
        <v>74</v>
      </c>
      <c r="AR252" t="s">
        <v>4347</v>
      </c>
      <c r="AS252" t="s">
        <v>4348</v>
      </c>
      <c r="AT252" t="s">
        <v>74</v>
      </c>
      <c r="AU252">
        <v>2008</v>
      </c>
      <c r="AV252" t="s">
        <v>4349</v>
      </c>
      <c r="AW252">
        <v>3</v>
      </c>
      <c r="AX252" t="s">
        <v>74</v>
      </c>
      <c r="AY252" t="s">
        <v>74</v>
      </c>
      <c r="AZ252" t="s">
        <v>74</v>
      </c>
      <c r="BA252" t="s">
        <v>74</v>
      </c>
      <c r="BB252">
        <v>187</v>
      </c>
      <c r="BC252">
        <v>199</v>
      </c>
      <c r="BD252" t="s">
        <v>74</v>
      </c>
      <c r="BE252" t="s">
        <v>4367</v>
      </c>
      <c r="BF252" t="str">
        <f>HYPERLINK("http://dx.doi.org/10.1111/j.1468-0459.2008.338.x","http://dx.doi.org/10.1111/j.1468-0459.2008.338.x")</f>
        <v>http://dx.doi.org/10.1111/j.1468-0459.2008.338.x</v>
      </c>
      <c r="BG252" t="s">
        <v>74</v>
      </c>
      <c r="BH252" t="s">
        <v>74</v>
      </c>
      <c r="BI252">
        <v>13</v>
      </c>
      <c r="BJ252" t="s">
        <v>4351</v>
      </c>
      <c r="BK252" t="s">
        <v>97</v>
      </c>
      <c r="BL252" t="s">
        <v>2749</v>
      </c>
      <c r="BM252" t="s">
        <v>4368</v>
      </c>
      <c r="BN252" t="s">
        <v>74</v>
      </c>
      <c r="BO252" t="s">
        <v>74</v>
      </c>
      <c r="BP252" t="s">
        <v>74</v>
      </c>
      <c r="BQ252" t="s">
        <v>74</v>
      </c>
      <c r="BR252" t="s">
        <v>100</v>
      </c>
      <c r="BS252" t="s">
        <v>4369</v>
      </c>
      <c r="BT252" t="str">
        <f>HYPERLINK("https%3A%2F%2Fwww.webofscience.com%2Fwos%2Fwoscc%2Ffull-record%2FWOS:000258781800001","View Full Record in Web of Science")</f>
        <v>View Full Record in Web of Science</v>
      </c>
    </row>
    <row r="253" spans="1:72" x14ac:dyDescent="0.15">
      <c r="A253" t="s">
        <v>72</v>
      </c>
      <c r="B253" t="s">
        <v>4370</v>
      </c>
      <c r="C253" t="s">
        <v>74</v>
      </c>
      <c r="D253" t="s">
        <v>74</v>
      </c>
      <c r="E253" t="s">
        <v>74</v>
      </c>
      <c r="F253" t="s">
        <v>4371</v>
      </c>
      <c r="G253" t="s">
        <v>74</v>
      </c>
      <c r="H253" t="s">
        <v>74</v>
      </c>
      <c r="I253" t="s">
        <v>4372</v>
      </c>
      <c r="J253" t="s">
        <v>4373</v>
      </c>
      <c r="K253" t="s">
        <v>74</v>
      </c>
      <c r="L253" t="s">
        <v>74</v>
      </c>
      <c r="M253" t="s">
        <v>78</v>
      </c>
      <c r="N253" t="s">
        <v>106</v>
      </c>
      <c r="O253" t="s">
        <v>74</v>
      </c>
      <c r="P253" t="s">
        <v>74</v>
      </c>
      <c r="Q253" t="s">
        <v>74</v>
      </c>
      <c r="R253" t="s">
        <v>74</v>
      </c>
      <c r="S253" t="s">
        <v>74</v>
      </c>
      <c r="T253" t="s">
        <v>4374</v>
      </c>
      <c r="U253" t="s">
        <v>4375</v>
      </c>
      <c r="V253" t="s">
        <v>4376</v>
      </c>
      <c r="W253" t="s">
        <v>4377</v>
      </c>
      <c r="X253" t="s">
        <v>4378</v>
      </c>
      <c r="Y253" t="s">
        <v>4379</v>
      </c>
      <c r="Z253" t="s">
        <v>4380</v>
      </c>
      <c r="AA253" t="s">
        <v>4381</v>
      </c>
      <c r="AB253" t="s">
        <v>4382</v>
      </c>
      <c r="AC253" t="s">
        <v>4383</v>
      </c>
      <c r="AD253" t="s">
        <v>4384</v>
      </c>
      <c r="AE253" t="s">
        <v>4385</v>
      </c>
      <c r="AF253" t="s">
        <v>74</v>
      </c>
      <c r="AG253">
        <v>142</v>
      </c>
      <c r="AH253">
        <v>29</v>
      </c>
      <c r="AI253">
        <v>38</v>
      </c>
      <c r="AJ253">
        <v>4</v>
      </c>
      <c r="AK253">
        <v>65</v>
      </c>
      <c r="AL253" t="s">
        <v>4386</v>
      </c>
      <c r="AM253" t="s">
        <v>4387</v>
      </c>
      <c r="AN253" t="s">
        <v>4388</v>
      </c>
      <c r="AO253" t="s">
        <v>4389</v>
      </c>
      <c r="AP253" t="s">
        <v>4390</v>
      </c>
      <c r="AQ253" t="s">
        <v>74</v>
      </c>
      <c r="AR253" t="s">
        <v>4391</v>
      </c>
      <c r="AS253" t="s">
        <v>4392</v>
      </c>
      <c r="AT253" t="s">
        <v>74</v>
      </c>
      <c r="AU253">
        <v>2008</v>
      </c>
      <c r="AV253">
        <v>25</v>
      </c>
      <c r="AW253" t="s">
        <v>4393</v>
      </c>
      <c r="AX253" t="s">
        <v>74</v>
      </c>
      <c r="AY253" t="s">
        <v>74</v>
      </c>
      <c r="AZ253" t="s">
        <v>74</v>
      </c>
      <c r="BA253" t="s">
        <v>74</v>
      </c>
      <c r="BB253">
        <v>404</v>
      </c>
      <c r="BC253">
        <v>414</v>
      </c>
      <c r="BD253" t="s">
        <v>74</v>
      </c>
      <c r="BE253" t="s">
        <v>4394</v>
      </c>
      <c r="BF253" t="str">
        <f>HYPERLINK("http://dx.doi.org/10.1080/01490450802403057","http://dx.doi.org/10.1080/01490450802403057")</f>
        <v>http://dx.doi.org/10.1080/01490450802403057</v>
      </c>
      <c r="BG253" t="s">
        <v>74</v>
      </c>
      <c r="BH253" t="s">
        <v>74</v>
      </c>
      <c r="BI253">
        <v>11</v>
      </c>
      <c r="BJ253" t="s">
        <v>4395</v>
      </c>
      <c r="BK253" t="s">
        <v>97</v>
      </c>
      <c r="BL253" t="s">
        <v>2603</v>
      </c>
      <c r="BM253" t="s">
        <v>4396</v>
      </c>
      <c r="BN253" t="s">
        <v>74</v>
      </c>
      <c r="BO253" t="s">
        <v>74</v>
      </c>
      <c r="BP253" t="s">
        <v>74</v>
      </c>
      <c r="BQ253" t="s">
        <v>74</v>
      </c>
      <c r="BR253" t="s">
        <v>100</v>
      </c>
      <c r="BS253" t="s">
        <v>4397</v>
      </c>
      <c r="BT253" t="str">
        <f>HYPERLINK("https%3A%2F%2Fwww.webofscience.com%2Fwos%2Fwoscc%2Ffull-record%2FWOS:000260120100010","View Full Record in Web of Science")</f>
        <v>View Full Record in Web of Science</v>
      </c>
    </row>
    <row r="254" spans="1:72" x14ac:dyDescent="0.15">
      <c r="A254" t="s">
        <v>72</v>
      </c>
      <c r="B254" t="s">
        <v>4398</v>
      </c>
      <c r="C254" t="s">
        <v>74</v>
      </c>
      <c r="D254" t="s">
        <v>74</v>
      </c>
      <c r="E254" t="s">
        <v>74</v>
      </c>
      <c r="F254" t="s">
        <v>4399</v>
      </c>
      <c r="G254" t="s">
        <v>74</v>
      </c>
      <c r="H254" t="s">
        <v>74</v>
      </c>
      <c r="I254" t="s">
        <v>4400</v>
      </c>
      <c r="J254" t="s">
        <v>233</v>
      </c>
      <c r="K254" t="s">
        <v>74</v>
      </c>
      <c r="L254" t="s">
        <v>74</v>
      </c>
      <c r="M254" t="s">
        <v>78</v>
      </c>
      <c r="N254" t="s">
        <v>79</v>
      </c>
      <c r="O254" t="s">
        <v>74</v>
      </c>
      <c r="P254" t="s">
        <v>74</v>
      </c>
      <c r="Q254" t="s">
        <v>74</v>
      </c>
      <c r="R254" t="s">
        <v>74</v>
      </c>
      <c r="S254" t="s">
        <v>74</v>
      </c>
      <c r="T254" t="s">
        <v>74</v>
      </c>
      <c r="U254" t="s">
        <v>4401</v>
      </c>
      <c r="V254" t="s">
        <v>4402</v>
      </c>
      <c r="W254" t="s">
        <v>4403</v>
      </c>
      <c r="X254" t="s">
        <v>1418</v>
      </c>
      <c r="Y254" t="s">
        <v>4404</v>
      </c>
      <c r="Z254" t="s">
        <v>4405</v>
      </c>
      <c r="AA254" t="s">
        <v>4406</v>
      </c>
      <c r="AB254" t="s">
        <v>4407</v>
      </c>
      <c r="AC254" t="s">
        <v>74</v>
      </c>
      <c r="AD254" t="s">
        <v>74</v>
      </c>
      <c r="AE254" t="s">
        <v>74</v>
      </c>
      <c r="AF254" t="s">
        <v>74</v>
      </c>
      <c r="AG254">
        <v>24</v>
      </c>
      <c r="AH254">
        <v>16</v>
      </c>
      <c r="AI254">
        <v>18</v>
      </c>
      <c r="AJ254">
        <v>4</v>
      </c>
      <c r="AK254">
        <v>25</v>
      </c>
      <c r="AL254" t="s">
        <v>193</v>
      </c>
      <c r="AM254" t="s">
        <v>194</v>
      </c>
      <c r="AN254" t="s">
        <v>195</v>
      </c>
      <c r="AO254" t="s">
        <v>243</v>
      </c>
      <c r="AP254" t="s">
        <v>74</v>
      </c>
      <c r="AQ254" t="s">
        <v>74</v>
      </c>
      <c r="AR254" t="s">
        <v>244</v>
      </c>
      <c r="AS254" t="s">
        <v>245</v>
      </c>
      <c r="AT254" t="s">
        <v>2143</v>
      </c>
      <c r="AU254">
        <v>2008</v>
      </c>
      <c r="AV254">
        <v>35</v>
      </c>
      <c r="AW254">
        <v>1</v>
      </c>
      <c r="AX254" t="s">
        <v>74</v>
      </c>
      <c r="AY254" t="s">
        <v>74</v>
      </c>
      <c r="AZ254" t="s">
        <v>74</v>
      </c>
      <c r="BA254" t="s">
        <v>74</v>
      </c>
      <c r="BB254" t="s">
        <v>74</v>
      </c>
      <c r="BC254" t="s">
        <v>74</v>
      </c>
      <c r="BD254" t="s">
        <v>4408</v>
      </c>
      <c r="BE254" t="s">
        <v>4409</v>
      </c>
      <c r="BF254" t="str">
        <f>HYPERLINK("http://dx.doi.org/10.1029/2007GL032071","http://dx.doi.org/10.1029/2007GL032071")</f>
        <v>http://dx.doi.org/10.1029/2007GL032071</v>
      </c>
      <c r="BG254" t="s">
        <v>74</v>
      </c>
      <c r="BH254" t="s">
        <v>74</v>
      </c>
      <c r="BI254">
        <v>5</v>
      </c>
      <c r="BJ254" t="s">
        <v>96</v>
      </c>
      <c r="BK254" t="s">
        <v>97</v>
      </c>
      <c r="BL254" t="s">
        <v>98</v>
      </c>
      <c r="BM254" t="s">
        <v>4410</v>
      </c>
      <c r="BN254" t="s">
        <v>74</v>
      </c>
      <c r="BO254" t="s">
        <v>179</v>
      </c>
      <c r="BP254" t="s">
        <v>74</v>
      </c>
      <c r="BQ254" t="s">
        <v>74</v>
      </c>
      <c r="BR254" t="s">
        <v>100</v>
      </c>
      <c r="BS254" t="s">
        <v>4411</v>
      </c>
      <c r="BT254" t="str">
        <f>HYPERLINK("https%3A%2F%2Fwww.webofscience.com%2Fwos%2Fwoscc%2Ffull-record%2FWOS:000252182900007","View Full Record in Web of Science")</f>
        <v>View Full Record in Web of Science</v>
      </c>
    </row>
    <row r="255" spans="1:72" x14ac:dyDescent="0.15">
      <c r="A255" t="s">
        <v>72</v>
      </c>
      <c r="B255" t="s">
        <v>4412</v>
      </c>
      <c r="C255" t="s">
        <v>74</v>
      </c>
      <c r="D255" t="s">
        <v>74</v>
      </c>
      <c r="E255" t="s">
        <v>74</v>
      </c>
      <c r="F255" t="s">
        <v>4413</v>
      </c>
      <c r="G255" t="s">
        <v>74</v>
      </c>
      <c r="H255" t="s">
        <v>74</v>
      </c>
      <c r="I255" t="s">
        <v>4414</v>
      </c>
      <c r="J255" t="s">
        <v>4415</v>
      </c>
      <c r="K255" t="s">
        <v>74</v>
      </c>
      <c r="L255" t="s">
        <v>74</v>
      </c>
      <c r="M255" t="s">
        <v>78</v>
      </c>
      <c r="N255" t="s">
        <v>79</v>
      </c>
      <c r="O255" t="s">
        <v>74</v>
      </c>
      <c r="P255" t="s">
        <v>74</v>
      </c>
      <c r="Q255" t="s">
        <v>74</v>
      </c>
      <c r="R255" t="s">
        <v>74</v>
      </c>
      <c r="S255" t="s">
        <v>74</v>
      </c>
      <c r="T255" t="s">
        <v>4416</v>
      </c>
      <c r="U255" t="s">
        <v>4417</v>
      </c>
      <c r="V255" t="s">
        <v>4418</v>
      </c>
      <c r="W255" t="s">
        <v>4419</v>
      </c>
      <c r="X255" t="s">
        <v>4420</v>
      </c>
      <c r="Y255" t="s">
        <v>4421</v>
      </c>
      <c r="Z255" t="s">
        <v>4422</v>
      </c>
      <c r="AA255" t="s">
        <v>4423</v>
      </c>
      <c r="AB255" t="s">
        <v>4424</v>
      </c>
      <c r="AC255" t="s">
        <v>74</v>
      </c>
      <c r="AD255" t="s">
        <v>74</v>
      </c>
      <c r="AE255" t="s">
        <v>74</v>
      </c>
      <c r="AF255" t="s">
        <v>74</v>
      </c>
      <c r="AG255">
        <v>55</v>
      </c>
      <c r="AH255">
        <v>47</v>
      </c>
      <c r="AI255">
        <v>51</v>
      </c>
      <c r="AJ255">
        <v>2</v>
      </c>
      <c r="AK255">
        <v>29</v>
      </c>
      <c r="AL255" t="s">
        <v>265</v>
      </c>
      <c r="AM255" t="s">
        <v>266</v>
      </c>
      <c r="AN255" t="s">
        <v>267</v>
      </c>
      <c r="AO255" t="s">
        <v>4425</v>
      </c>
      <c r="AP255" t="s">
        <v>4426</v>
      </c>
      <c r="AQ255" t="s">
        <v>74</v>
      </c>
      <c r="AR255" t="s">
        <v>4427</v>
      </c>
      <c r="AS255" t="s">
        <v>4428</v>
      </c>
      <c r="AT255" t="s">
        <v>1490</v>
      </c>
      <c r="AU255">
        <v>2008</v>
      </c>
      <c r="AV255">
        <v>60</v>
      </c>
      <c r="AW255" t="s">
        <v>551</v>
      </c>
      <c r="AX255" t="s">
        <v>74</v>
      </c>
      <c r="AY255" t="s">
        <v>74</v>
      </c>
      <c r="AZ255" t="s">
        <v>74</v>
      </c>
      <c r="BA255" t="s">
        <v>74</v>
      </c>
      <c r="BB255">
        <v>72</v>
      </c>
      <c r="BC255">
        <v>84</v>
      </c>
      <c r="BD255" t="s">
        <v>74</v>
      </c>
      <c r="BE255" t="s">
        <v>4429</v>
      </c>
      <c r="BF255" t="str">
        <f>HYPERLINK("http://dx.doi.org/10.1016/j.gloplacha.2006.07.037","http://dx.doi.org/10.1016/j.gloplacha.2006.07.037")</f>
        <v>http://dx.doi.org/10.1016/j.gloplacha.2006.07.037</v>
      </c>
      <c r="BG255" t="s">
        <v>74</v>
      </c>
      <c r="BH255" t="s">
        <v>74</v>
      </c>
      <c r="BI255">
        <v>13</v>
      </c>
      <c r="BJ255" t="s">
        <v>2748</v>
      </c>
      <c r="BK255" t="s">
        <v>97</v>
      </c>
      <c r="BL255" t="s">
        <v>2749</v>
      </c>
      <c r="BM255" t="s">
        <v>4430</v>
      </c>
      <c r="BN255" t="s">
        <v>74</v>
      </c>
      <c r="BO255" t="s">
        <v>74</v>
      </c>
      <c r="BP255" t="s">
        <v>74</v>
      </c>
      <c r="BQ255" t="s">
        <v>74</v>
      </c>
      <c r="BR255" t="s">
        <v>100</v>
      </c>
      <c r="BS255" t="s">
        <v>4431</v>
      </c>
      <c r="BT255" t="str">
        <f>HYPERLINK("https%3A%2F%2Fwww.webofscience.com%2Fwos%2Fwoscc%2Ffull-record%2FWOS:000252663400006","View Full Record in Web of Science")</f>
        <v>View Full Record in Web of Science</v>
      </c>
    </row>
    <row r="256" spans="1:72" x14ac:dyDescent="0.15">
      <c r="A256" t="s">
        <v>72</v>
      </c>
      <c r="B256" t="s">
        <v>4432</v>
      </c>
      <c r="C256" t="s">
        <v>74</v>
      </c>
      <c r="D256" t="s">
        <v>74</v>
      </c>
      <c r="E256" t="s">
        <v>74</v>
      </c>
      <c r="F256" t="s">
        <v>4433</v>
      </c>
      <c r="G256" t="s">
        <v>74</v>
      </c>
      <c r="H256" t="s">
        <v>74</v>
      </c>
      <c r="I256" t="s">
        <v>4434</v>
      </c>
      <c r="J256" t="s">
        <v>4435</v>
      </c>
      <c r="K256" t="s">
        <v>74</v>
      </c>
      <c r="L256" t="s">
        <v>74</v>
      </c>
      <c r="M256" t="s">
        <v>78</v>
      </c>
      <c r="N256" t="s">
        <v>79</v>
      </c>
      <c r="O256" t="s">
        <v>74</v>
      </c>
      <c r="P256" t="s">
        <v>74</v>
      </c>
      <c r="Q256" t="s">
        <v>74</v>
      </c>
      <c r="R256" t="s">
        <v>74</v>
      </c>
      <c r="S256" t="s">
        <v>74</v>
      </c>
      <c r="T256" t="s">
        <v>4436</v>
      </c>
      <c r="U256" t="s">
        <v>4437</v>
      </c>
      <c r="V256" t="s">
        <v>4438</v>
      </c>
      <c r="W256" t="s">
        <v>4439</v>
      </c>
      <c r="X256" t="s">
        <v>4440</v>
      </c>
      <c r="Y256" t="s">
        <v>4441</v>
      </c>
      <c r="Z256" t="s">
        <v>4442</v>
      </c>
      <c r="AA256" t="s">
        <v>74</v>
      </c>
      <c r="AB256" t="s">
        <v>74</v>
      </c>
      <c r="AC256" t="s">
        <v>74</v>
      </c>
      <c r="AD256" t="s">
        <v>74</v>
      </c>
      <c r="AE256" t="s">
        <v>74</v>
      </c>
      <c r="AF256" t="s">
        <v>74</v>
      </c>
      <c r="AG256">
        <v>67</v>
      </c>
      <c r="AH256">
        <v>159</v>
      </c>
      <c r="AI256">
        <v>186</v>
      </c>
      <c r="AJ256">
        <v>2</v>
      </c>
      <c r="AK256">
        <v>39</v>
      </c>
      <c r="AL256" t="s">
        <v>1219</v>
      </c>
      <c r="AM256" t="s">
        <v>89</v>
      </c>
      <c r="AN256" t="s">
        <v>90</v>
      </c>
      <c r="AO256" t="s">
        <v>4443</v>
      </c>
      <c r="AP256" t="s">
        <v>4444</v>
      </c>
      <c r="AQ256" t="s">
        <v>74</v>
      </c>
      <c r="AR256" t="s">
        <v>4445</v>
      </c>
      <c r="AS256" t="s">
        <v>4446</v>
      </c>
      <c r="AT256" t="s">
        <v>1490</v>
      </c>
      <c r="AU256">
        <v>2008</v>
      </c>
      <c r="AV256">
        <v>17</v>
      </c>
      <c r="AW256">
        <v>1</v>
      </c>
      <c r="AX256" t="s">
        <v>74</v>
      </c>
      <c r="AY256" t="s">
        <v>74</v>
      </c>
      <c r="AZ256" t="s">
        <v>74</v>
      </c>
      <c r="BA256" t="s">
        <v>74</v>
      </c>
      <c r="BB256">
        <v>72</v>
      </c>
      <c r="BC256">
        <v>83</v>
      </c>
      <c r="BD256" t="s">
        <v>74</v>
      </c>
      <c r="BE256" t="s">
        <v>4447</v>
      </c>
      <c r="BF256" t="str">
        <f>HYPERLINK("http://dx.doi.org/10.1111/j.1466-8238.2007.00348.x","http://dx.doi.org/10.1111/j.1466-8238.2007.00348.x")</f>
        <v>http://dx.doi.org/10.1111/j.1466-8238.2007.00348.x</v>
      </c>
      <c r="BG256" t="s">
        <v>74</v>
      </c>
      <c r="BH256" t="s">
        <v>74</v>
      </c>
      <c r="BI256">
        <v>12</v>
      </c>
      <c r="BJ256" t="s">
        <v>4448</v>
      </c>
      <c r="BK256" t="s">
        <v>97</v>
      </c>
      <c r="BL256" t="s">
        <v>4449</v>
      </c>
      <c r="BM256" t="s">
        <v>4450</v>
      </c>
      <c r="BN256" t="s">
        <v>74</v>
      </c>
      <c r="BO256" t="s">
        <v>74</v>
      </c>
      <c r="BP256" t="s">
        <v>74</v>
      </c>
      <c r="BQ256" t="s">
        <v>74</v>
      </c>
      <c r="BR256" t="s">
        <v>100</v>
      </c>
      <c r="BS256" t="s">
        <v>4451</v>
      </c>
      <c r="BT256" t="str">
        <f>HYPERLINK("https%3A%2F%2Fwww.webofscience.com%2Fwos%2Fwoscc%2Ffull-record%2FWOS:000251415100009","View Full Record in Web of Science")</f>
        <v>View Full Record in Web of Science</v>
      </c>
    </row>
    <row r="257" spans="1:72" x14ac:dyDescent="0.15">
      <c r="A257" t="s">
        <v>72</v>
      </c>
      <c r="B257" t="s">
        <v>4452</v>
      </c>
      <c r="C257" t="s">
        <v>74</v>
      </c>
      <c r="D257" t="s">
        <v>74</v>
      </c>
      <c r="E257" t="s">
        <v>74</v>
      </c>
      <c r="F257" t="s">
        <v>4453</v>
      </c>
      <c r="G257" t="s">
        <v>74</v>
      </c>
      <c r="H257" t="s">
        <v>74</v>
      </c>
      <c r="I257" t="s">
        <v>4454</v>
      </c>
      <c r="J257" t="s">
        <v>4435</v>
      </c>
      <c r="K257" t="s">
        <v>74</v>
      </c>
      <c r="L257" t="s">
        <v>74</v>
      </c>
      <c r="M257" t="s">
        <v>78</v>
      </c>
      <c r="N257" t="s">
        <v>79</v>
      </c>
      <c r="O257" t="s">
        <v>74</v>
      </c>
      <c r="P257" t="s">
        <v>74</v>
      </c>
      <c r="Q257" t="s">
        <v>74</v>
      </c>
      <c r="R257" t="s">
        <v>74</v>
      </c>
      <c r="S257" t="s">
        <v>74</v>
      </c>
      <c r="T257" t="s">
        <v>4455</v>
      </c>
      <c r="U257" t="s">
        <v>4456</v>
      </c>
      <c r="V257" t="s">
        <v>4457</v>
      </c>
      <c r="W257" t="s">
        <v>4458</v>
      </c>
      <c r="X257" t="s">
        <v>440</v>
      </c>
      <c r="Y257" t="s">
        <v>4459</v>
      </c>
      <c r="Z257" t="s">
        <v>4460</v>
      </c>
      <c r="AA257" t="s">
        <v>4461</v>
      </c>
      <c r="AB257" t="s">
        <v>4462</v>
      </c>
      <c r="AC257" t="s">
        <v>4463</v>
      </c>
      <c r="AD257" t="s">
        <v>444</v>
      </c>
      <c r="AE257" t="s">
        <v>74</v>
      </c>
      <c r="AF257" t="s">
        <v>74</v>
      </c>
      <c r="AG257">
        <v>56</v>
      </c>
      <c r="AH257">
        <v>60</v>
      </c>
      <c r="AI257">
        <v>63</v>
      </c>
      <c r="AJ257">
        <v>2</v>
      </c>
      <c r="AK257">
        <v>22</v>
      </c>
      <c r="AL257" t="s">
        <v>1219</v>
      </c>
      <c r="AM257" t="s">
        <v>89</v>
      </c>
      <c r="AN257" t="s">
        <v>90</v>
      </c>
      <c r="AO257" t="s">
        <v>4443</v>
      </c>
      <c r="AP257" t="s">
        <v>4444</v>
      </c>
      <c r="AQ257" t="s">
        <v>74</v>
      </c>
      <c r="AR257" t="s">
        <v>4445</v>
      </c>
      <c r="AS257" t="s">
        <v>4446</v>
      </c>
      <c r="AT257" t="s">
        <v>1490</v>
      </c>
      <c r="AU257">
        <v>2008</v>
      </c>
      <c r="AV257">
        <v>17</v>
      </c>
      <c r="AW257">
        <v>1</v>
      </c>
      <c r="AX257" t="s">
        <v>74</v>
      </c>
      <c r="AY257" t="s">
        <v>74</v>
      </c>
      <c r="AZ257" t="s">
        <v>74</v>
      </c>
      <c r="BA257" t="s">
        <v>74</v>
      </c>
      <c r="BB257">
        <v>84</v>
      </c>
      <c r="BC257">
        <v>99</v>
      </c>
      <c r="BD257" t="s">
        <v>74</v>
      </c>
      <c r="BE257" t="s">
        <v>4464</v>
      </c>
      <c r="BF257" t="str">
        <f>HYPERLINK("http://dx.doi.org/10.1111/j.1466-8238.2007.00342.x","http://dx.doi.org/10.1111/j.1466-8238.2007.00342.x")</f>
        <v>http://dx.doi.org/10.1111/j.1466-8238.2007.00342.x</v>
      </c>
      <c r="BG257" t="s">
        <v>74</v>
      </c>
      <c r="BH257" t="s">
        <v>74</v>
      </c>
      <c r="BI257">
        <v>16</v>
      </c>
      <c r="BJ257" t="s">
        <v>4448</v>
      </c>
      <c r="BK257" t="s">
        <v>97</v>
      </c>
      <c r="BL257" t="s">
        <v>4449</v>
      </c>
      <c r="BM257" t="s">
        <v>4450</v>
      </c>
      <c r="BN257" t="s">
        <v>74</v>
      </c>
      <c r="BO257" t="s">
        <v>74</v>
      </c>
      <c r="BP257" t="s">
        <v>74</v>
      </c>
      <c r="BQ257" t="s">
        <v>74</v>
      </c>
      <c r="BR257" t="s">
        <v>100</v>
      </c>
      <c r="BS257" t="s">
        <v>4465</v>
      </c>
      <c r="BT257" t="str">
        <f>HYPERLINK("https%3A%2F%2Fwww.webofscience.com%2Fwos%2Fwoscc%2Ffull-record%2FWOS:000251415100010","View Full Record in Web of Science")</f>
        <v>View Full Record in Web of Science</v>
      </c>
    </row>
    <row r="258" spans="1:72" x14ac:dyDescent="0.15">
      <c r="A258" t="s">
        <v>816</v>
      </c>
      <c r="B258" t="s">
        <v>4466</v>
      </c>
      <c r="C258" t="s">
        <v>74</v>
      </c>
      <c r="D258" t="s">
        <v>4467</v>
      </c>
      <c r="E258" t="s">
        <v>74</v>
      </c>
      <c r="F258" t="s">
        <v>4468</v>
      </c>
      <c r="G258" t="s">
        <v>74</v>
      </c>
      <c r="H258" t="s">
        <v>74</v>
      </c>
      <c r="I258" t="s">
        <v>4469</v>
      </c>
      <c r="J258" t="s">
        <v>4470</v>
      </c>
      <c r="K258" t="s">
        <v>4471</v>
      </c>
      <c r="L258" t="s">
        <v>74</v>
      </c>
      <c r="M258" t="s">
        <v>78</v>
      </c>
      <c r="N258" t="s">
        <v>823</v>
      </c>
      <c r="O258" t="s">
        <v>4472</v>
      </c>
      <c r="P258" t="s">
        <v>4473</v>
      </c>
      <c r="Q258" t="s">
        <v>4474</v>
      </c>
      <c r="R258" t="s">
        <v>74</v>
      </c>
      <c r="S258" t="s">
        <v>74</v>
      </c>
      <c r="T258" t="s">
        <v>74</v>
      </c>
      <c r="U258" t="s">
        <v>4475</v>
      </c>
      <c r="V258" t="s">
        <v>4476</v>
      </c>
      <c r="W258" t="s">
        <v>4477</v>
      </c>
      <c r="X258" t="s">
        <v>4478</v>
      </c>
      <c r="Y258" t="s">
        <v>4479</v>
      </c>
      <c r="Z258" t="s">
        <v>4480</v>
      </c>
      <c r="AA258" t="s">
        <v>74</v>
      </c>
      <c r="AB258" t="s">
        <v>74</v>
      </c>
      <c r="AC258" t="s">
        <v>74</v>
      </c>
      <c r="AD258" t="s">
        <v>74</v>
      </c>
      <c r="AE258" t="s">
        <v>74</v>
      </c>
      <c r="AF258" t="s">
        <v>74</v>
      </c>
      <c r="AG258">
        <v>87</v>
      </c>
      <c r="AH258">
        <v>18</v>
      </c>
      <c r="AI258">
        <v>18</v>
      </c>
      <c r="AJ258">
        <v>1</v>
      </c>
      <c r="AK258">
        <v>11</v>
      </c>
      <c r="AL258" t="s">
        <v>4481</v>
      </c>
      <c r="AM258" t="s">
        <v>4482</v>
      </c>
      <c r="AN258" t="s">
        <v>4483</v>
      </c>
      <c r="AO258" t="s">
        <v>4484</v>
      </c>
      <c r="AP258" t="s">
        <v>74</v>
      </c>
      <c r="AQ258" t="s">
        <v>4485</v>
      </c>
      <c r="AR258" t="s">
        <v>4486</v>
      </c>
      <c r="AS258" t="s">
        <v>4487</v>
      </c>
      <c r="AT258" t="s">
        <v>74</v>
      </c>
      <c r="AU258">
        <v>2008</v>
      </c>
      <c r="AV258">
        <v>63</v>
      </c>
      <c r="AW258" t="s">
        <v>74</v>
      </c>
      <c r="AX258" t="s">
        <v>74</v>
      </c>
      <c r="AY258" t="s">
        <v>74</v>
      </c>
      <c r="AZ258" t="s">
        <v>74</v>
      </c>
      <c r="BA258" t="s">
        <v>74</v>
      </c>
      <c r="BB258">
        <v>139</v>
      </c>
      <c r="BC258">
        <v>161</v>
      </c>
      <c r="BD258" t="s">
        <v>74</v>
      </c>
      <c r="BE258" t="s">
        <v>74</v>
      </c>
      <c r="BF258" t="s">
        <v>74</v>
      </c>
      <c r="BG258" t="s">
        <v>74</v>
      </c>
      <c r="BH258" t="s">
        <v>74</v>
      </c>
      <c r="BI258">
        <v>23</v>
      </c>
      <c r="BJ258" t="s">
        <v>4218</v>
      </c>
      <c r="BK258" t="s">
        <v>842</v>
      </c>
      <c r="BL258" t="s">
        <v>4218</v>
      </c>
      <c r="BM258" t="s">
        <v>4488</v>
      </c>
      <c r="BN258" t="s">
        <v>74</v>
      </c>
      <c r="BO258" t="s">
        <v>74</v>
      </c>
      <c r="BP258" t="s">
        <v>74</v>
      </c>
      <c r="BQ258" t="s">
        <v>74</v>
      </c>
      <c r="BR258" t="s">
        <v>100</v>
      </c>
      <c r="BS258" t="s">
        <v>4489</v>
      </c>
      <c r="BT258" t="str">
        <f>HYPERLINK("https%3A%2F%2Fwww.webofscience.com%2Fwos%2Fwoscc%2Ffull-record%2FWOS:000258525400012","View Full Record in Web of Science")</f>
        <v>View Full Record in Web of Science</v>
      </c>
    </row>
    <row r="259" spans="1:72" x14ac:dyDescent="0.15">
      <c r="A259" t="s">
        <v>816</v>
      </c>
      <c r="B259" t="s">
        <v>4490</v>
      </c>
      <c r="C259" t="s">
        <v>74</v>
      </c>
      <c r="D259" t="s">
        <v>4491</v>
      </c>
      <c r="E259" t="s">
        <v>74</v>
      </c>
      <c r="F259" t="s">
        <v>4492</v>
      </c>
      <c r="G259" t="s">
        <v>74</v>
      </c>
      <c r="H259" t="s">
        <v>74</v>
      </c>
      <c r="I259" t="s">
        <v>4493</v>
      </c>
      <c r="J259" t="s">
        <v>4494</v>
      </c>
      <c r="K259" t="s">
        <v>1344</v>
      </c>
      <c r="L259" t="s">
        <v>74</v>
      </c>
      <c r="M259" t="s">
        <v>78</v>
      </c>
      <c r="N259" t="s">
        <v>823</v>
      </c>
      <c r="O259" t="s">
        <v>4495</v>
      </c>
      <c r="P259" t="s">
        <v>1346</v>
      </c>
      <c r="Q259" t="s">
        <v>1347</v>
      </c>
      <c r="R259" t="s">
        <v>74</v>
      </c>
      <c r="S259" t="s">
        <v>74</v>
      </c>
      <c r="T259" t="s">
        <v>4496</v>
      </c>
      <c r="U259" t="s">
        <v>4497</v>
      </c>
      <c r="V259" t="s">
        <v>4498</v>
      </c>
      <c r="W259" t="s">
        <v>4499</v>
      </c>
      <c r="X259" t="s">
        <v>1068</v>
      </c>
      <c r="Y259" t="s">
        <v>4500</v>
      </c>
      <c r="Z259" t="s">
        <v>4501</v>
      </c>
      <c r="AA259" t="s">
        <v>74</v>
      </c>
      <c r="AB259" t="s">
        <v>4502</v>
      </c>
      <c r="AC259" t="s">
        <v>4503</v>
      </c>
      <c r="AD259" t="s">
        <v>4504</v>
      </c>
      <c r="AE259" t="s">
        <v>4505</v>
      </c>
      <c r="AF259" t="s">
        <v>74</v>
      </c>
      <c r="AG259">
        <v>6</v>
      </c>
      <c r="AH259">
        <v>7</v>
      </c>
      <c r="AI259">
        <v>7</v>
      </c>
      <c r="AJ259">
        <v>0</v>
      </c>
      <c r="AK259">
        <v>2</v>
      </c>
      <c r="AL259" t="s">
        <v>1354</v>
      </c>
      <c r="AM259" t="s">
        <v>1355</v>
      </c>
      <c r="AN259" t="s">
        <v>1356</v>
      </c>
      <c r="AO259" t="s">
        <v>1357</v>
      </c>
      <c r="AP259" t="s">
        <v>74</v>
      </c>
      <c r="AQ259" t="s">
        <v>4506</v>
      </c>
      <c r="AR259" t="s">
        <v>1360</v>
      </c>
      <c r="AS259" t="s">
        <v>74</v>
      </c>
      <c r="AT259" t="s">
        <v>74</v>
      </c>
      <c r="AU259">
        <v>2008</v>
      </c>
      <c r="AV259">
        <v>7014</v>
      </c>
      <c r="AW259" t="s">
        <v>74</v>
      </c>
      <c r="AX259" t="s">
        <v>150</v>
      </c>
      <c r="AY259" t="s">
        <v>74</v>
      </c>
      <c r="AZ259" t="s">
        <v>74</v>
      </c>
      <c r="BA259" t="s">
        <v>74</v>
      </c>
      <c r="BB259" t="s">
        <v>74</v>
      </c>
      <c r="BC259" t="s">
        <v>74</v>
      </c>
      <c r="BD259" t="s">
        <v>4507</v>
      </c>
      <c r="BE259" t="s">
        <v>4508</v>
      </c>
      <c r="BF259" t="str">
        <f>HYPERLINK("http://dx.doi.org/10.1117/12.788154","http://dx.doi.org/10.1117/12.788154")</f>
        <v>http://dx.doi.org/10.1117/12.788154</v>
      </c>
      <c r="BG259" t="s">
        <v>74</v>
      </c>
      <c r="BH259" t="s">
        <v>74</v>
      </c>
      <c r="BI259">
        <v>7</v>
      </c>
      <c r="BJ259" t="s">
        <v>1363</v>
      </c>
      <c r="BK259" t="s">
        <v>842</v>
      </c>
      <c r="BL259" t="s">
        <v>1364</v>
      </c>
      <c r="BM259" t="s">
        <v>4509</v>
      </c>
      <c r="BN259" t="s">
        <v>74</v>
      </c>
      <c r="BO259" t="s">
        <v>1050</v>
      </c>
      <c r="BP259" t="s">
        <v>74</v>
      </c>
      <c r="BQ259" t="s">
        <v>74</v>
      </c>
      <c r="BR259" t="s">
        <v>100</v>
      </c>
      <c r="BS259" t="s">
        <v>4510</v>
      </c>
      <c r="BT259" t="str">
        <f>HYPERLINK("https%3A%2F%2Fwww.webofscience.com%2Fwos%2Fwoscc%2Ffull-record%2FWOS:000259917700217","View Full Record in Web of Science")</f>
        <v>View Full Record in Web of Science</v>
      </c>
    </row>
    <row r="260" spans="1:72" x14ac:dyDescent="0.15">
      <c r="A260" t="s">
        <v>816</v>
      </c>
      <c r="B260" t="s">
        <v>4511</v>
      </c>
      <c r="C260" t="s">
        <v>74</v>
      </c>
      <c r="D260" t="s">
        <v>4491</v>
      </c>
      <c r="E260" t="s">
        <v>74</v>
      </c>
      <c r="F260" t="s">
        <v>4512</v>
      </c>
      <c r="G260" t="s">
        <v>74</v>
      </c>
      <c r="H260" t="s">
        <v>74</v>
      </c>
      <c r="I260" t="s">
        <v>4513</v>
      </c>
      <c r="J260" t="s">
        <v>4494</v>
      </c>
      <c r="K260" t="s">
        <v>1344</v>
      </c>
      <c r="L260" t="s">
        <v>74</v>
      </c>
      <c r="M260" t="s">
        <v>78</v>
      </c>
      <c r="N260" t="s">
        <v>823</v>
      </c>
      <c r="O260" t="s">
        <v>4495</v>
      </c>
      <c r="P260" t="s">
        <v>1346</v>
      </c>
      <c r="Q260" t="s">
        <v>1347</v>
      </c>
      <c r="R260" t="s">
        <v>74</v>
      </c>
      <c r="S260" t="s">
        <v>74</v>
      </c>
      <c r="T260" t="s">
        <v>4514</v>
      </c>
      <c r="U260" t="s">
        <v>74</v>
      </c>
      <c r="V260" t="s">
        <v>4515</v>
      </c>
      <c r="W260" t="s">
        <v>4516</v>
      </c>
      <c r="X260" t="s">
        <v>4517</v>
      </c>
      <c r="Y260" t="s">
        <v>4518</v>
      </c>
      <c r="Z260" t="s">
        <v>4519</v>
      </c>
      <c r="AA260" t="s">
        <v>74</v>
      </c>
      <c r="AB260" t="s">
        <v>4520</v>
      </c>
      <c r="AC260" t="s">
        <v>74</v>
      </c>
      <c r="AD260" t="s">
        <v>74</v>
      </c>
      <c r="AE260" t="s">
        <v>74</v>
      </c>
      <c r="AF260" t="s">
        <v>74</v>
      </c>
      <c r="AG260">
        <v>4</v>
      </c>
      <c r="AH260">
        <v>1</v>
      </c>
      <c r="AI260">
        <v>1</v>
      </c>
      <c r="AJ260">
        <v>0</v>
      </c>
      <c r="AK260">
        <v>0</v>
      </c>
      <c r="AL260" t="s">
        <v>1354</v>
      </c>
      <c r="AM260" t="s">
        <v>1355</v>
      </c>
      <c r="AN260" t="s">
        <v>1356</v>
      </c>
      <c r="AO260" t="s">
        <v>1357</v>
      </c>
      <c r="AP260" t="s">
        <v>1358</v>
      </c>
      <c r="AQ260" t="s">
        <v>4506</v>
      </c>
      <c r="AR260" t="s">
        <v>1360</v>
      </c>
      <c r="AS260" t="s">
        <v>74</v>
      </c>
      <c r="AT260" t="s">
        <v>74</v>
      </c>
      <c r="AU260">
        <v>2008</v>
      </c>
      <c r="AV260">
        <v>7014</v>
      </c>
      <c r="AW260" t="s">
        <v>74</v>
      </c>
      <c r="AX260" t="s">
        <v>150</v>
      </c>
      <c r="AY260" t="s">
        <v>74</v>
      </c>
      <c r="AZ260" t="s">
        <v>74</v>
      </c>
      <c r="BA260" t="s">
        <v>74</v>
      </c>
      <c r="BB260" t="s">
        <v>74</v>
      </c>
      <c r="BC260" t="s">
        <v>74</v>
      </c>
      <c r="BD260" t="s">
        <v>4521</v>
      </c>
      <c r="BE260" t="s">
        <v>4522</v>
      </c>
      <c r="BF260" t="str">
        <f>HYPERLINK("http://dx.doi.org/10.1117/12.789086","http://dx.doi.org/10.1117/12.789086")</f>
        <v>http://dx.doi.org/10.1117/12.789086</v>
      </c>
      <c r="BG260" t="s">
        <v>74</v>
      </c>
      <c r="BH260" t="s">
        <v>74</v>
      </c>
      <c r="BI260">
        <v>10</v>
      </c>
      <c r="BJ260" t="s">
        <v>1363</v>
      </c>
      <c r="BK260" t="s">
        <v>842</v>
      </c>
      <c r="BL260" t="s">
        <v>1364</v>
      </c>
      <c r="BM260" t="s">
        <v>4509</v>
      </c>
      <c r="BN260" t="s">
        <v>74</v>
      </c>
      <c r="BO260" t="s">
        <v>74</v>
      </c>
      <c r="BP260" t="s">
        <v>74</v>
      </c>
      <c r="BQ260" t="s">
        <v>74</v>
      </c>
      <c r="BR260" t="s">
        <v>100</v>
      </c>
      <c r="BS260" t="s">
        <v>4523</v>
      </c>
      <c r="BT260" t="str">
        <f>HYPERLINK("https%3A%2F%2Fwww.webofscience.com%2Fwos%2Fwoscc%2Ffull-record%2FWOS:000259917700109","View Full Record in Web of Science")</f>
        <v>View Full Record in Web of Science</v>
      </c>
    </row>
    <row r="261" spans="1:72" x14ac:dyDescent="0.15">
      <c r="A261" t="s">
        <v>816</v>
      </c>
      <c r="B261" t="s">
        <v>4524</v>
      </c>
      <c r="C261" t="s">
        <v>74</v>
      </c>
      <c r="D261" t="s">
        <v>4491</v>
      </c>
      <c r="E261" t="s">
        <v>74</v>
      </c>
      <c r="F261" t="s">
        <v>4525</v>
      </c>
      <c r="G261" t="s">
        <v>74</v>
      </c>
      <c r="H261" t="s">
        <v>74</v>
      </c>
      <c r="I261" t="s">
        <v>4526</v>
      </c>
      <c r="J261" t="s">
        <v>4494</v>
      </c>
      <c r="K261" t="s">
        <v>1344</v>
      </c>
      <c r="L261" t="s">
        <v>74</v>
      </c>
      <c r="M261" t="s">
        <v>78</v>
      </c>
      <c r="N261" t="s">
        <v>823</v>
      </c>
      <c r="O261" t="s">
        <v>4495</v>
      </c>
      <c r="P261" t="s">
        <v>1346</v>
      </c>
      <c r="Q261" t="s">
        <v>1347</v>
      </c>
      <c r="R261" t="s">
        <v>74</v>
      </c>
      <c r="S261" t="s">
        <v>74</v>
      </c>
      <c r="T261" t="s">
        <v>4527</v>
      </c>
      <c r="U261" t="s">
        <v>74</v>
      </c>
      <c r="V261" t="s">
        <v>4528</v>
      </c>
      <c r="W261" t="s">
        <v>4529</v>
      </c>
      <c r="X261" t="s">
        <v>4530</v>
      </c>
      <c r="Y261" t="s">
        <v>4531</v>
      </c>
      <c r="Z261" t="s">
        <v>74</v>
      </c>
      <c r="AA261" t="s">
        <v>74</v>
      </c>
      <c r="AB261" t="s">
        <v>74</v>
      </c>
      <c r="AC261" t="s">
        <v>74</v>
      </c>
      <c r="AD261" t="s">
        <v>74</v>
      </c>
      <c r="AE261" t="s">
        <v>74</v>
      </c>
      <c r="AF261" t="s">
        <v>74</v>
      </c>
      <c r="AG261">
        <v>17</v>
      </c>
      <c r="AH261">
        <v>0</v>
      </c>
      <c r="AI261">
        <v>0</v>
      </c>
      <c r="AJ261">
        <v>0</v>
      </c>
      <c r="AK261">
        <v>0</v>
      </c>
      <c r="AL261" t="s">
        <v>1354</v>
      </c>
      <c r="AM261" t="s">
        <v>1355</v>
      </c>
      <c r="AN261" t="s">
        <v>1356</v>
      </c>
      <c r="AO261" t="s">
        <v>1357</v>
      </c>
      <c r="AP261" t="s">
        <v>1358</v>
      </c>
      <c r="AQ261" t="s">
        <v>4506</v>
      </c>
      <c r="AR261" t="s">
        <v>1360</v>
      </c>
      <c r="AS261" t="s">
        <v>74</v>
      </c>
      <c r="AT261" t="s">
        <v>74</v>
      </c>
      <c r="AU261">
        <v>2008</v>
      </c>
      <c r="AV261">
        <v>7014</v>
      </c>
      <c r="AW261" t="s">
        <v>74</v>
      </c>
      <c r="AX261" t="s">
        <v>150</v>
      </c>
      <c r="AY261" t="s">
        <v>74</v>
      </c>
      <c r="AZ261" t="s">
        <v>74</v>
      </c>
      <c r="BA261" t="s">
        <v>74</v>
      </c>
      <c r="BB261" t="s">
        <v>74</v>
      </c>
      <c r="BC261" t="s">
        <v>74</v>
      </c>
      <c r="BD261" t="s">
        <v>4532</v>
      </c>
      <c r="BE261" t="s">
        <v>4533</v>
      </c>
      <c r="BF261" t="str">
        <f>HYPERLINK("http://dx.doi.org/10.1117/12.786509","http://dx.doi.org/10.1117/12.786509")</f>
        <v>http://dx.doi.org/10.1117/12.786509</v>
      </c>
      <c r="BG261" t="s">
        <v>74</v>
      </c>
      <c r="BH261" t="s">
        <v>74</v>
      </c>
      <c r="BI261">
        <v>12</v>
      </c>
      <c r="BJ261" t="s">
        <v>1363</v>
      </c>
      <c r="BK261" t="s">
        <v>842</v>
      </c>
      <c r="BL261" t="s">
        <v>1364</v>
      </c>
      <c r="BM261" t="s">
        <v>4509</v>
      </c>
      <c r="BN261" t="s">
        <v>74</v>
      </c>
      <c r="BO261" t="s">
        <v>74</v>
      </c>
      <c r="BP261" t="s">
        <v>74</v>
      </c>
      <c r="BQ261" t="s">
        <v>74</v>
      </c>
      <c r="BR261" t="s">
        <v>100</v>
      </c>
      <c r="BS261" t="s">
        <v>4534</v>
      </c>
      <c r="BT261" t="str">
        <f>HYPERLINK("https%3A%2F%2Fwww.webofscience.com%2Fwos%2Fwoscc%2Ffull-record%2FWOS:000259917700090","View Full Record in Web of Science")</f>
        <v>View Full Record in Web of Science</v>
      </c>
    </row>
    <row r="262" spans="1:72" x14ac:dyDescent="0.15">
      <c r="A262" t="s">
        <v>816</v>
      </c>
      <c r="B262" t="s">
        <v>4535</v>
      </c>
      <c r="C262" t="s">
        <v>74</v>
      </c>
      <c r="D262" t="s">
        <v>4491</v>
      </c>
      <c r="E262" t="s">
        <v>74</v>
      </c>
      <c r="F262" t="s">
        <v>4536</v>
      </c>
      <c r="G262" t="s">
        <v>74</v>
      </c>
      <c r="H262" t="s">
        <v>74</v>
      </c>
      <c r="I262" t="s">
        <v>4537</v>
      </c>
      <c r="J262" t="s">
        <v>4494</v>
      </c>
      <c r="K262" t="s">
        <v>1344</v>
      </c>
      <c r="L262" t="s">
        <v>74</v>
      </c>
      <c r="M262" t="s">
        <v>78</v>
      </c>
      <c r="N262" t="s">
        <v>823</v>
      </c>
      <c r="O262" t="s">
        <v>4495</v>
      </c>
      <c r="P262" t="s">
        <v>1346</v>
      </c>
      <c r="Q262" t="s">
        <v>1347</v>
      </c>
      <c r="R262" t="s">
        <v>74</v>
      </c>
      <c r="S262" t="s">
        <v>74</v>
      </c>
      <c r="T262" t="s">
        <v>4538</v>
      </c>
      <c r="U262" t="s">
        <v>4539</v>
      </c>
      <c r="V262" t="s">
        <v>4540</v>
      </c>
      <c r="W262" t="s">
        <v>4541</v>
      </c>
      <c r="X262" t="s">
        <v>74</v>
      </c>
      <c r="Y262" t="s">
        <v>4542</v>
      </c>
      <c r="Z262" t="s">
        <v>4543</v>
      </c>
      <c r="AA262" t="s">
        <v>74</v>
      </c>
      <c r="AB262" t="s">
        <v>4544</v>
      </c>
      <c r="AC262" t="s">
        <v>74</v>
      </c>
      <c r="AD262" t="s">
        <v>74</v>
      </c>
      <c r="AE262" t="s">
        <v>74</v>
      </c>
      <c r="AF262" t="s">
        <v>74</v>
      </c>
      <c r="AG262">
        <v>15</v>
      </c>
      <c r="AH262">
        <v>2</v>
      </c>
      <c r="AI262">
        <v>2</v>
      </c>
      <c r="AJ262">
        <v>0</v>
      </c>
      <c r="AK262">
        <v>2</v>
      </c>
      <c r="AL262" t="s">
        <v>1354</v>
      </c>
      <c r="AM262" t="s">
        <v>1355</v>
      </c>
      <c r="AN262" t="s">
        <v>1356</v>
      </c>
      <c r="AO262" t="s">
        <v>1357</v>
      </c>
      <c r="AP262" t="s">
        <v>74</v>
      </c>
      <c r="AQ262" t="s">
        <v>4506</v>
      </c>
      <c r="AR262" t="s">
        <v>1360</v>
      </c>
      <c r="AS262" t="s">
        <v>74</v>
      </c>
      <c r="AT262" t="s">
        <v>74</v>
      </c>
      <c r="AU262">
        <v>2008</v>
      </c>
      <c r="AV262">
        <v>7014</v>
      </c>
      <c r="AW262" t="s">
        <v>74</v>
      </c>
      <c r="AX262" t="s">
        <v>150</v>
      </c>
      <c r="AY262" t="s">
        <v>74</v>
      </c>
      <c r="AZ262" t="s">
        <v>74</v>
      </c>
      <c r="BA262" t="s">
        <v>74</v>
      </c>
      <c r="BB262" t="s">
        <v>74</v>
      </c>
      <c r="BC262" t="s">
        <v>74</v>
      </c>
      <c r="BD262" t="s">
        <v>4545</v>
      </c>
      <c r="BE262" t="s">
        <v>4546</v>
      </c>
      <c r="BF262" t="str">
        <f>HYPERLINK("http://dx.doi.org/10.1117/12.788858","http://dx.doi.org/10.1117/12.788858")</f>
        <v>http://dx.doi.org/10.1117/12.788858</v>
      </c>
      <c r="BG262" t="s">
        <v>74</v>
      </c>
      <c r="BH262" t="s">
        <v>74</v>
      </c>
      <c r="BI262">
        <v>9</v>
      </c>
      <c r="BJ262" t="s">
        <v>1363</v>
      </c>
      <c r="BK262" t="s">
        <v>842</v>
      </c>
      <c r="BL262" t="s">
        <v>1364</v>
      </c>
      <c r="BM262" t="s">
        <v>4509</v>
      </c>
      <c r="BN262" t="s">
        <v>74</v>
      </c>
      <c r="BO262" t="s">
        <v>1050</v>
      </c>
      <c r="BP262" t="s">
        <v>74</v>
      </c>
      <c r="BQ262" t="s">
        <v>74</v>
      </c>
      <c r="BR262" t="s">
        <v>100</v>
      </c>
      <c r="BS262" t="s">
        <v>4547</v>
      </c>
      <c r="BT262" t="str">
        <f>HYPERLINK("https%3A%2F%2Fwww.webofscience.com%2Fwos%2Fwoscc%2Ffull-record%2FWOS:000259917700154","View Full Record in Web of Science")</f>
        <v>View Full Record in Web of Science</v>
      </c>
    </row>
    <row r="263" spans="1:72" x14ac:dyDescent="0.15">
      <c r="A263" t="s">
        <v>816</v>
      </c>
      <c r="B263" t="s">
        <v>4548</v>
      </c>
      <c r="C263" t="s">
        <v>74</v>
      </c>
      <c r="D263" t="s">
        <v>4549</v>
      </c>
      <c r="E263" t="s">
        <v>74</v>
      </c>
      <c r="F263" t="s">
        <v>4550</v>
      </c>
      <c r="G263" t="s">
        <v>74</v>
      </c>
      <c r="H263" t="s">
        <v>74</v>
      </c>
      <c r="I263" t="s">
        <v>4551</v>
      </c>
      <c r="J263" t="s">
        <v>4552</v>
      </c>
      <c r="K263" t="s">
        <v>1344</v>
      </c>
      <c r="L263" t="s">
        <v>74</v>
      </c>
      <c r="M263" t="s">
        <v>78</v>
      </c>
      <c r="N263" t="s">
        <v>823</v>
      </c>
      <c r="O263" t="s">
        <v>4495</v>
      </c>
      <c r="P263" t="s">
        <v>1346</v>
      </c>
      <c r="Q263" t="s">
        <v>1347</v>
      </c>
      <c r="R263" t="s">
        <v>74</v>
      </c>
      <c r="S263" t="s">
        <v>74</v>
      </c>
      <c r="T263" t="s">
        <v>4553</v>
      </c>
      <c r="U263" t="s">
        <v>74</v>
      </c>
      <c r="V263" t="s">
        <v>4554</v>
      </c>
      <c r="W263" t="s">
        <v>4555</v>
      </c>
      <c r="X263" t="s">
        <v>1351</v>
      </c>
      <c r="Y263" t="s">
        <v>4556</v>
      </c>
      <c r="Z263" t="s">
        <v>4557</v>
      </c>
      <c r="AA263" t="s">
        <v>74</v>
      </c>
      <c r="AB263" t="s">
        <v>74</v>
      </c>
      <c r="AC263" t="s">
        <v>74</v>
      </c>
      <c r="AD263" t="s">
        <v>74</v>
      </c>
      <c r="AE263" t="s">
        <v>74</v>
      </c>
      <c r="AF263" t="s">
        <v>74</v>
      </c>
      <c r="AG263">
        <v>11</v>
      </c>
      <c r="AH263">
        <v>34</v>
      </c>
      <c r="AI263">
        <v>34</v>
      </c>
      <c r="AJ263">
        <v>1</v>
      </c>
      <c r="AK263">
        <v>5</v>
      </c>
      <c r="AL263" t="s">
        <v>1354</v>
      </c>
      <c r="AM263" t="s">
        <v>1355</v>
      </c>
      <c r="AN263" t="s">
        <v>1356</v>
      </c>
      <c r="AO263" t="s">
        <v>1357</v>
      </c>
      <c r="AP263" t="s">
        <v>1358</v>
      </c>
      <c r="AQ263" t="s">
        <v>4558</v>
      </c>
      <c r="AR263" t="s">
        <v>1360</v>
      </c>
      <c r="AS263" t="s">
        <v>74</v>
      </c>
      <c r="AT263" t="s">
        <v>74</v>
      </c>
      <c r="AU263">
        <v>2008</v>
      </c>
      <c r="AV263">
        <v>7012</v>
      </c>
      <c r="AW263" t="s">
        <v>74</v>
      </c>
      <c r="AX263" t="s">
        <v>1361</v>
      </c>
      <c r="AY263" t="s">
        <v>74</v>
      </c>
      <c r="AZ263" t="s">
        <v>74</v>
      </c>
      <c r="BA263" t="s">
        <v>74</v>
      </c>
      <c r="BB263" t="s">
        <v>74</v>
      </c>
      <c r="BC263" t="s">
        <v>74</v>
      </c>
      <c r="BD263" t="s">
        <v>4559</v>
      </c>
      <c r="BE263" t="s">
        <v>4560</v>
      </c>
      <c r="BF263" t="str">
        <f>HYPERLINK("http://dx.doi.org/10.1117/12.789458","http://dx.doi.org/10.1117/12.789458")</f>
        <v>http://dx.doi.org/10.1117/12.789458</v>
      </c>
      <c r="BG263" t="s">
        <v>74</v>
      </c>
      <c r="BH263" t="s">
        <v>74</v>
      </c>
      <c r="BI263">
        <v>8</v>
      </c>
      <c r="BJ263" t="s">
        <v>4561</v>
      </c>
      <c r="BK263" t="s">
        <v>842</v>
      </c>
      <c r="BL263" t="s">
        <v>4561</v>
      </c>
      <c r="BM263" t="s">
        <v>4562</v>
      </c>
      <c r="BN263" t="s">
        <v>74</v>
      </c>
      <c r="BO263" t="s">
        <v>74</v>
      </c>
      <c r="BP263" t="s">
        <v>74</v>
      </c>
      <c r="BQ263" t="s">
        <v>74</v>
      </c>
      <c r="BR263" t="s">
        <v>100</v>
      </c>
      <c r="BS263" t="s">
        <v>4563</v>
      </c>
      <c r="BT263" t="str">
        <f>HYPERLINK("https%3A%2F%2Fwww.webofscience.com%2Fwos%2Fwoscc%2Ffull-record%2FWOS:000260430300084","View Full Record in Web of Science")</f>
        <v>View Full Record in Web of Science</v>
      </c>
    </row>
    <row r="264" spans="1:72" x14ac:dyDescent="0.15">
      <c r="A264" t="s">
        <v>816</v>
      </c>
      <c r="B264" t="s">
        <v>4564</v>
      </c>
      <c r="C264" t="s">
        <v>74</v>
      </c>
      <c r="D264" t="s">
        <v>4549</v>
      </c>
      <c r="E264" t="s">
        <v>74</v>
      </c>
      <c r="F264" t="s">
        <v>4565</v>
      </c>
      <c r="G264" t="s">
        <v>74</v>
      </c>
      <c r="H264" t="s">
        <v>74</v>
      </c>
      <c r="I264" t="s">
        <v>4566</v>
      </c>
      <c r="J264" t="s">
        <v>4552</v>
      </c>
      <c r="K264" t="s">
        <v>1344</v>
      </c>
      <c r="L264" t="s">
        <v>74</v>
      </c>
      <c r="M264" t="s">
        <v>78</v>
      </c>
      <c r="N264" t="s">
        <v>823</v>
      </c>
      <c r="O264" t="s">
        <v>4495</v>
      </c>
      <c r="P264" t="s">
        <v>1346</v>
      </c>
      <c r="Q264" t="s">
        <v>1347</v>
      </c>
      <c r="R264" t="s">
        <v>74</v>
      </c>
      <c r="S264" t="s">
        <v>74</v>
      </c>
      <c r="T264" t="s">
        <v>4567</v>
      </c>
      <c r="U264" t="s">
        <v>74</v>
      </c>
      <c r="V264" t="s">
        <v>4568</v>
      </c>
      <c r="W264" t="s">
        <v>4569</v>
      </c>
      <c r="X264" t="s">
        <v>4570</v>
      </c>
      <c r="Y264" t="s">
        <v>4571</v>
      </c>
      <c r="Z264" t="s">
        <v>4572</v>
      </c>
      <c r="AA264" t="s">
        <v>4573</v>
      </c>
      <c r="AB264" t="s">
        <v>4574</v>
      </c>
      <c r="AC264" t="s">
        <v>74</v>
      </c>
      <c r="AD264" t="s">
        <v>74</v>
      </c>
      <c r="AE264" t="s">
        <v>74</v>
      </c>
      <c r="AF264" t="s">
        <v>74</v>
      </c>
      <c r="AG264">
        <v>10</v>
      </c>
      <c r="AH264">
        <v>3</v>
      </c>
      <c r="AI264">
        <v>3</v>
      </c>
      <c r="AJ264">
        <v>0</v>
      </c>
      <c r="AK264">
        <v>2</v>
      </c>
      <c r="AL264" t="s">
        <v>1354</v>
      </c>
      <c r="AM264" t="s">
        <v>1355</v>
      </c>
      <c r="AN264" t="s">
        <v>1356</v>
      </c>
      <c r="AO264" t="s">
        <v>1357</v>
      </c>
      <c r="AP264" t="s">
        <v>1358</v>
      </c>
      <c r="AQ264" t="s">
        <v>4558</v>
      </c>
      <c r="AR264" t="s">
        <v>1360</v>
      </c>
      <c r="AS264" t="s">
        <v>74</v>
      </c>
      <c r="AT264" t="s">
        <v>74</v>
      </c>
      <c r="AU264">
        <v>2008</v>
      </c>
      <c r="AV264">
        <v>7012</v>
      </c>
      <c r="AW264" t="s">
        <v>74</v>
      </c>
      <c r="AX264" t="s">
        <v>1361</v>
      </c>
      <c r="AY264" t="s">
        <v>74</v>
      </c>
      <c r="AZ264" t="s">
        <v>74</v>
      </c>
      <c r="BA264" t="s">
        <v>74</v>
      </c>
      <c r="BB264" t="s">
        <v>74</v>
      </c>
      <c r="BC264" t="s">
        <v>74</v>
      </c>
      <c r="BD264" t="s">
        <v>4575</v>
      </c>
      <c r="BE264" t="s">
        <v>4576</v>
      </c>
      <c r="BF264" t="str">
        <f>HYPERLINK("http://dx.doi.org/10.1117/12.789337","http://dx.doi.org/10.1117/12.789337")</f>
        <v>http://dx.doi.org/10.1117/12.789337</v>
      </c>
      <c r="BG264" t="s">
        <v>74</v>
      </c>
      <c r="BH264" t="s">
        <v>74</v>
      </c>
      <c r="BI264">
        <v>11</v>
      </c>
      <c r="BJ264" t="s">
        <v>4561</v>
      </c>
      <c r="BK264" t="s">
        <v>842</v>
      </c>
      <c r="BL264" t="s">
        <v>4561</v>
      </c>
      <c r="BM264" t="s">
        <v>4562</v>
      </c>
      <c r="BN264" t="s">
        <v>74</v>
      </c>
      <c r="BO264" t="s">
        <v>1050</v>
      </c>
      <c r="BP264" t="s">
        <v>74</v>
      </c>
      <c r="BQ264" t="s">
        <v>74</v>
      </c>
      <c r="BR264" t="s">
        <v>100</v>
      </c>
      <c r="BS264" t="s">
        <v>4577</v>
      </c>
      <c r="BT264" t="str">
        <f>HYPERLINK("https%3A%2F%2Fwww.webofscience.com%2Fwos%2Fwoscc%2Ffull-record%2FWOS:000260430300082","View Full Record in Web of Science")</f>
        <v>View Full Record in Web of Science</v>
      </c>
    </row>
    <row r="265" spans="1:72" x14ac:dyDescent="0.15">
      <c r="A265" t="s">
        <v>816</v>
      </c>
      <c r="B265" t="s">
        <v>4578</v>
      </c>
      <c r="C265" t="s">
        <v>74</v>
      </c>
      <c r="D265" t="s">
        <v>4549</v>
      </c>
      <c r="E265" t="s">
        <v>74</v>
      </c>
      <c r="F265" t="s">
        <v>4579</v>
      </c>
      <c r="G265" t="s">
        <v>74</v>
      </c>
      <c r="H265" t="s">
        <v>74</v>
      </c>
      <c r="I265" t="s">
        <v>4580</v>
      </c>
      <c r="J265" t="s">
        <v>4552</v>
      </c>
      <c r="K265" t="s">
        <v>1344</v>
      </c>
      <c r="L265" t="s">
        <v>74</v>
      </c>
      <c r="M265" t="s">
        <v>78</v>
      </c>
      <c r="N265" t="s">
        <v>823</v>
      </c>
      <c r="O265" t="s">
        <v>4495</v>
      </c>
      <c r="P265" t="s">
        <v>1346</v>
      </c>
      <c r="Q265" t="s">
        <v>1347</v>
      </c>
      <c r="R265" t="s">
        <v>74</v>
      </c>
      <c r="S265" t="s">
        <v>74</v>
      </c>
      <c r="T265" t="s">
        <v>4581</v>
      </c>
      <c r="U265" t="s">
        <v>4582</v>
      </c>
      <c r="V265" t="s">
        <v>4583</v>
      </c>
      <c r="W265" t="s">
        <v>4584</v>
      </c>
      <c r="X265" t="s">
        <v>1087</v>
      </c>
      <c r="Y265" t="s">
        <v>4585</v>
      </c>
      <c r="Z265" t="s">
        <v>4586</v>
      </c>
      <c r="AA265" t="s">
        <v>4587</v>
      </c>
      <c r="AB265" t="s">
        <v>4588</v>
      </c>
      <c r="AC265" t="s">
        <v>74</v>
      </c>
      <c r="AD265" t="s">
        <v>74</v>
      </c>
      <c r="AE265" t="s">
        <v>74</v>
      </c>
      <c r="AF265" t="s">
        <v>74</v>
      </c>
      <c r="AG265">
        <v>11</v>
      </c>
      <c r="AH265">
        <v>0</v>
      </c>
      <c r="AI265">
        <v>0</v>
      </c>
      <c r="AJ265">
        <v>0</v>
      </c>
      <c r="AK265">
        <v>2</v>
      </c>
      <c r="AL265" t="s">
        <v>1354</v>
      </c>
      <c r="AM265" t="s">
        <v>1355</v>
      </c>
      <c r="AN265" t="s">
        <v>1356</v>
      </c>
      <c r="AO265" t="s">
        <v>1357</v>
      </c>
      <c r="AP265" t="s">
        <v>74</v>
      </c>
      <c r="AQ265" t="s">
        <v>4558</v>
      </c>
      <c r="AR265" t="s">
        <v>1360</v>
      </c>
      <c r="AS265" t="s">
        <v>74</v>
      </c>
      <c r="AT265" t="s">
        <v>74</v>
      </c>
      <c r="AU265">
        <v>2008</v>
      </c>
      <c r="AV265">
        <v>7012</v>
      </c>
      <c r="AW265" t="s">
        <v>74</v>
      </c>
      <c r="AX265" t="s">
        <v>1361</v>
      </c>
      <c r="AY265" t="s">
        <v>74</v>
      </c>
      <c r="AZ265" t="s">
        <v>74</v>
      </c>
      <c r="BA265" t="s">
        <v>74</v>
      </c>
      <c r="BB265" t="s">
        <v>74</v>
      </c>
      <c r="BC265" t="s">
        <v>74</v>
      </c>
      <c r="BD265" t="s">
        <v>4589</v>
      </c>
      <c r="BE265" t="s">
        <v>4590</v>
      </c>
      <c r="BF265" t="str">
        <f>HYPERLINK("http://dx.doi.org/10.1117/12.787333","http://dx.doi.org/10.1117/12.787333")</f>
        <v>http://dx.doi.org/10.1117/12.787333</v>
      </c>
      <c r="BG265" t="s">
        <v>74</v>
      </c>
      <c r="BH265" t="s">
        <v>74</v>
      </c>
      <c r="BI265">
        <v>12</v>
      </c>
      <c r="BJ265" t="s">
        <v>4561</v>
      </c>
      <c r="BK265" t="s">
        <v>842</v>
      </c>
      <c r="BL265" t="s">
        <v>4561</v>
      </c>
      <c r="BM265" t="s">
        <v>4562</v>
      </c>
      <c r="BN265" t="s">
        <v>74</v>
      </c>
      <c r="BO265" t="s">
        <v>1050</v>
      </c>
      <c r="BP265" t="s">
        <v>74</v>
      </c>
      <c r="BQ265" t="s">
        <v>74</v>
      </c>
      <c r="BR265" t="s">
        <v>100</v>
      </c>
      <c r="BS265" t="s">
        <v>4591</v>
      </c>
      <c r="BT265" t="str">
        <f>HYPERLINK("https%3A%2F%2Fwww.webofscience.com%2Fwos%2Fwoscc%2Ffull-record%2FWOS:000260430300147","View Full Record in Web of Science")</f>
        <v>View Full Record in Web of Science</v>
      </c>
    </row>
    <row r="266" spans="1:72" x14ac:dyDescent="0.15">
      <c r="A266" t="s">
        <v>816</v>
      </c>
      <c r="B266" t="s">
        <v>4592</v>
      </c>
      <c r="C266" t="s">
        <v>74</v>
      </c>
      <c r="D266" t="s">
        <v>4549</v>
      </c>
      <c r="E266" t="s">
        <v>74</v>
      </c>
      <c r="F266" t="s">
        <v>4593</v>
      </c>
      <c r="G266" t="s">
        <v>74</v>
      </c>
      <c r="H266" t="s">
        <v>74</v>
      </c>
      <c r="I266" t="s">
        <v>4594</v>
      </c>
      <c r="J266" t="s">
        <v>4552</v>
      </c>
      <c r="K266" t="s">
        <v>1344</v>
      </c>
      <c r="L266" t="s">
        <v>74</v>
      </c>
      <c r="M266" t="s">
        <v>78</v>
      </c>
      <c r="N266" t="s">
        <v>823</v>
      </c>
      <c r="O266" t="s">
        <v>4495</v>
      </c>
      <c r="P266" t="s">
        <v>1346</v>
      </c>
      <c r="Q266" t="s">
        <v>1347</v>
      </c>
      <c r="R266" t="s">
        <v>74</v>
      </c>
      <c r="S266" t="s">
        <v>74</v>
      </c>
      <c r="T266" t="s">
        <v>4595</v>
      </c>
      <c r="U266" t="s">
        <v>74</v>
      </c>
      <c r="V266" t="s">
        <v>4596</v>
      </c>
      <c r="W266" t="s">
        <v>4597</v>
      </c>
      <c r="X266" t="s">
        <v>1068</v>
      </c>
      <c r="Y266" t="s">
        <v>4598</v>
      </c>
      <c r="Z266" t="s">
        <v>4599</v>
      </c>
      <c r="AA266" t="s">
        <v>74</v>
      </c>
      <c r="AB266" t="s">
        <v>1380</v>
      </c>
      <c r="AC266" t="s">
        <v>4600</v>
      </c>
      <c r="AD266" t="s">
        <v>4601</v>
      </c>
      <c r="AE266" t="s">
        <v>4602</v>
      </c>
      <c r="AF266" t="s">
        <v>74</v>
      </c>
      <c r="AG266">
        <v>5</v>
      </c>
      <c r="AH266">
        <v>4</v>
      </c>
      <c r="AI266">
        <v>4</v>
      </c>
      <c r="AJ266">
        <v>0</v>
      </c>
      <c r="AK266">
        <v>4</v>
      </c>
      <c r="AL266" t="s">
        <v>1354</v>
      </c>
      <c r="AM266" t="s">
        <v>1355</v>
      </c>
      <c r="AN266" t="s">
        <v>1356</v>
      </c>
      <c r="AO266" t="s">
        <v>1357</v>
      </c>
      <c r="AP266" t="s">
        <v>1358</v>
      </c>
      <c r="AQ266" t="s">
        <v>4558</v>
      </c>
      <c r="AR266" t="s">
        <v>1360</v>
      </c>
      <c r="AS266" t="s">
        <v>74</v>
      </c>
      <c r="AT266" t="s">
        <v>74</v>
      </c>
      <c r="AU266">
        <v>2008</v>
      </c>
      <c r="AV266">
        <v>7012</v>
      </c>
      <c r="AW266" t="s">
        <v>74</v>
      </c>
      <c r="AX266" t="s">
        <v>1361</v>
      </c>
      <c r="AY266" t="s">
        <v>74</v>
      </c>
      <c r="AZ266" t="s">
        <v>74</v>
      </c>
      <c r="BA266" t="s">
        <v>74</v>
      </c>
      <c r="BB266" t="s">
        <v>74</v>
      </c>
      <c r="BC266" t="s">
        <v>74</v>
      </c>
      <c r="BD266" t="s">
        <v>4603</v>
      </c>
      <c r="BE266" t="s">
        <v>4604</v>
      </c>
      <c r="BF266" t="str">
        <f>HYPERLINK("http://dx.doi.org/10.1117/12.788478","http://dx.doi.org/10.1117/12.788478")</f>
        <v>http://dx.doi.org/10.1117/12.788478</v>
      </c>
      <c r="BG266" t="s">
        <v>74</v>
      </c>
      <c r="BH266" t="s">
        <v>74</v>
      </c>
      <c r="BI266">
        <v>10</v>
      </c>
      <c r="BJ266" t="s">
        <v>4561</v>
      </c>
      <c r="BK266" t="s">
        <v>842</v>
      </c>
      <c r="BL266" t="s">
        <v>4561</v>
      </c>
      <c r="BM266" t="s">
        <v>4562</v>
      </c>
      <c r="BN266" t="s">
        <v>74</v>
      </c>
      <c r="BO266" t="s">
        <v>74</v>
      </c>
      <c r="BP266" t="s">
        <v>74</v>
      </c>
      <c r="BQ266" t="s">
        <v>74</v>
      </c>
      <c r="BR266" t="s">
        <v>100</v>
      </c>
      <c r="BS266" t="s">
        <v>4605</v>
      </c>
      <c r="BT266" t="str">
        <f>HYPERLINK("https%3A%2F%2Fwww.webofscience.com%2Fwos%2Fwoscc%2Ffull-record%2FWOS:000260430300151","View Full Record in Web of Science")</f>
        <v>View Full Record in Web of Science</v>
      </c>
    </row>
    <row r="267" spans="1:72" x14ac:dyDescent="0.15">
      <c r="A267" t="s">
        <v>816</v>
      </c>
      <c r="B267" t="s">
        <v>4606</v>
      </c>
      <c r="C267" t="s">
        <v>74</v>
      </c>
      <c r="D267" t="s">
        <v>4549</v>
      </c>
      <c r="E267" t="s">
        <v>74</v>
      </c>
      <c r="F267" t="s">
        <v>4607</v>
      </c>
      <c r="G267" t="s">
        <v>74</v>
      </c>
      <c r="H267" t="s">
        <v>74</v>
      </c>
      <c r="I267" t="s">
        <v>4608</v>
      </c>
      <c r="J267" t="s">
        <v>4552</v>
      </c>
      <c r="K267" t="s">
        <v>1344</v>
      </c>
      <c r="L267" t="s">
        <v>74</v>
      </c>
      <c r="M267" t="s">
        <v>78</v>
      </c>
      <c r="N267" t="s">
        <v>823</v>
      </c>
      <c r="O267" t="s">
        <v>4495</v>
      </c>
      <c r="P267" t="s">
        <v>1346</v>
      </c>
      <c r="Q267" t="s">
        <v>1347</v>
      </c>
      <c r="R267" t="s">
        <v>74</v>
      </c>
      <c r="S267" t="s">
        <v>74</v>
      </c>
      <c r="T267" t="s">
        <v>4609</v>
      </c>
      <c r="U267" t="s">
        <v>74</v>
      </c>
      <c r="V267" t="s">
        <v>4610</v>
      </c>
      <c r="W267" t="s">
        <v>4611</v>
      </c>
      <c r="X267" t="s">
        <v>4612</v>
      </c>
      <c r="Y267" t="s">
        <v>4613</v>
      </c>
      <c r="Z267" t="s">
        <v>74</v>
      </c>
      <c r="AA267" t="s">
        <v>4614</v>
      </c>
      <c r="AB267" t="s">
        <v>4615</v>
      </c>
      <c r="AC267" t="s">
        <v>4616</v>
      </c>
      <c r="AD267" t="s">
        <v>4617</v>
      </c>
      <c r="AE267" t="s">
        <v>4618</v>
      </c>
      <c r="AF267" t="s">
        <v>74</v>
      </c>
      <c r="AG267">
        <v>17</v>
      </c>
      <c r="AH267">
        <v>12</v>
      </c>
      <c r="AI267">
        <v>12</v>
      </c>
      <c r="AJ267">
        <v>0</v>
      </c>
      <c r="AK267">
        <v>3</v>
      </c>
      <c r="AL267" t="s">
        <v>1354</v>
      </c>
      <c r="AM267" t="s">
        <v>1355</v>
      </c>
      <c r="AN267" t="s">
        <v>1356</v>
      </c>
      <c r="AO267" t="s">
        <v>1357</v>
      </c>
      <c r="AP267" t="s">
        <v>1358</v>
      </c>
      <c r="AQ267" t="s">
        <v>4558</v>
      </c>
      <c r="AR267" t="s">
        <v>1360</v>
      </c>
      <c r="AS267" t="s">
        <v>74</v>
      </c>
      <c r="AT267" t="s">
        <v>74</v>
      </c>
      <c r="AU267">
        <v>2008</v>
      </c>
      <c r="AV267">
        <v>7012</v>
      </c>
      <c r="AW267" t="s">
        <v>74</v>
      </c>
      <c r="AX267" t="s">
        <v>1361</v>
      </c>
      <c r="AY267" t="s">
        <v>74</v>
      </c>
      <c r="AZ267" t="s">
        <v>74</v>
      </c>
      <c r="BA267" t="s">
        <v>74</v>
      </c>
      <c r="BB267" t="s">
        <v>74</v>
      </c>
      <c r="BC267" t="s">
        <v>74</v>
      </c>
      <c r="BD267">
        <v>701249</v>
      </c>
      <c r="BE267" t="s">
        <v>4619</v>
      </c>
      <c r="BF267" t="str">
        <f>HYPERLINK("http://dx.doi.org/10.1117/12.789741","http://dx.doi.org/10.1117/12.789741")</f>
        <v>http://dx.doi.org/10.1117/12.789741</v>
      </c>
      <c r="BG267" t="s">
        <v>74</v>
      </c>
      <c r="BH267" t="s">
        <v>74</v>
      </c>
      <c r="BI267">
        <v>11</v>
      </c>
      <c r="BJ267" t="s">
        <v>4561</v>
      </c>
      <c r="BK267" t="s">
        <v>842</v>
      </c>
      <c r="BL267" t="s">
        <v>4561</v>
      </c>
      <c r="BM267" t="s">
        <v>4562</v>
      </c>
      <c r="BN267" t="s">
        <v>74</v>
      </c>
      <c r="BO267" t="s">
        <v>250</v>
      </c>
      <c r="BP267" t="s">
        <v>74</v>
      </c>
      <c r="BQ267" t="s">
        <v>74</v>
      </c>
      <c r="BR267" t="s">
        <v>100</v>
      </c>
      <c r="BS267" t="s">
        <v>4620</v>
      </c>
      <c r="BT267" t="str">
        <f>HYPERLINK("https%3A%2F%2Fwww.webofscience.com%2Fwos%2Fwoscc%2Ffull-record%2FWOS:000260430300146","View Full Record in Web of Science")</f>
        <v>View Full Record in Web of Science</v>
      </c>
    </row>
    <row r="268" spans="1:72" x14ac:dyDescent="0.15">
      <c r="A268" t="s">
        <v>816</v>
      </c>
      <c r="B268" t="s">
        <v>4621</v>
      </c>
      <c r="C268" t="s">
        <v>74</v>
      </c>
      <c r="D268" t="s">
        <v>4549</v>
      </c>
      <c r="E268" t="s">
        <v>74</v>
      </c>
      <c r="F268" t="s">
        <v>4622</v>
      </c>
      <c r="G268" t="s">
        <v>74</v>
      </c>
      <c r="H268" t="s">
        <v>74</v>
      </c>
      <c r="I268" t="s">
        <v>4623</v>
      </c>
      <c r="J268" t="s">
        <v>4552</v>
      </c>
      <c r="K268" t="s">
        <v>1344</v>
      </c>
      <c r="L268" t="s">
        <v>74</v>
      </c>
      <c r="M268" t="s">
        <v>78</v>
      </c>
      <c r="N268" t="s">
        <v>823</v>
      </c>
      <c r="O268" t="s">
        <v>4495</v>
      </c>
      <c r="P268" t="s">
        <v>1346</v>
      </c>
      <c r="Q268" t="s">
        <v>1347</v>
      </c>
      <c r="R268" t="s">
        <v>74</v>
      </c>
      <c r="S268" t="s">
        <v>74</v>
      </c>
      <c r="T268" t="s">
        <v>4624</v>
      </c>
      <c r="U268" t="s">
        <v>4625</v>
      </c>
      <c r="V268" t="s">
        <v>4626</v>
      </c>
      <c r="W268" t="s">
        <v>4627</v>
      </c>
      <c r="X268" t="s">
        <v>1087</v>
      </c>
      <c r="Y268" t="s">
        <v>4628</v>
      </c>
      <c r="Z268" t="s">
        <v>4629</v>
      </c>
      <c r="AA268" t="s">
        <v>4630</v>
      </c>
      <c r="AB268" t="s">
        <v>4631</v>
      </c>
      <c r="AC268" t="s">
        <v>74</v>
      </c>
      <c r="AD268" t="s">
        <v>74</v>
      </c>
      <c r="AE268" t="s">
        <v>74</v>
      </c>
      <c r="AF268" t="s">
        <v>74</v>
      </c>
      <c r="AG268">
        <v>23</v>
      </c>
      <c r="AH268">
        <v>1</v>
      </c>
      <c r="AI268">
        <v>1</v>
      </c>
      <c r="AJ268">
        <v>0</v>
      </c>
      <c r="AK268">
        <v>0</v>
      </c>
      <c r="AL268" t="s">
        <v>1354</v>
      </c>
      <c r="AM268" t="s">
        <v>1355</v>
      </c>
      <c r="AN268" t="s">
        <v>1356</v>
      </c>
      <c r="AO268" t="s">
        <v>1357</v>
      </c>
      <c r="AP268" t="s">
        <v>74</v>
      </c>
      <c r="AQ268" t="s">
        <v>4558</v>
      </c>
      <c r="AR268" t="s">
        <v>1360</v>
      </c>
      <c r="AS268" t="s">
        <v>74</v>
      </c>
      <c r="AT268" t="s">
        <v>74</v>
      </c>
      <c r="AU268">
        <v>2008</v>
      </c>
      <c r="AV268">
        <v>7012</v>
      </c>
      <c r="AW268" t="s">
        <v>74</v>
      </c>
      <c r="AX268" t="s">
        <v>1361</v>
      </c>
      <c r="AY268" t="s">
        <v>74</v>
      </c>
      <c r="AZ268" t="s">
        <v>74</v>
      </c>
      <c r="BA268" t="s">
        <v>74</v>
      </c>
      <c r="BB268" t="s">
        <v>74</v>
      </c>
      <c r="BC268" t="s">
        <v>74</v>
      </c>
      <c r="BD268" t="s">
        <v>4632</v>
      </c>
      <c r="BE268" t="s">
        <v>4633</v>
      </c>
      <c r="BF268" t="str">
        <f>HYPERLINK("http://dx.doi.org/10.1117/12.787571","http://dx.doi.org/10.1117/12.787571")</f>
        <v>http://dx.doi.org/10.1117/12.787571</v>
      </c>
      <c r="BG268" t="s">
        <v>74</v>
      </c>
      <c r="BH268" t="s">
        <v>74</v>
      </c>
      <c r="BI268">
        <v>12</v>
      </c>
      <c r="BJ268" t="s">
        <v>4561</v>
      </c>
      <c r="BK268" t="s">
        <v>842</v>
      </c>
      <c r="BL268" t="s">
        <v>4561</v>
      </c>
      <c r="BM268" t="s">
        <v>4562</v>
      </c>
      <c r="BN268" t="s">
        <v>74</v>
      </c>
      <c r="BO268" t="s">
        <v>4634</v>
      </c>
      <c r="BP268" t="s">
        <v>74</v>
      </c>
      <c r="BQ268" t="s">
        <v>74</v>
      </c>
      <c r="BR268" t="s">
        <v>100</v>
      </c>
      <c r="BS268" t="s">
        <v>4635</v>
      </c>
      <c r="BT268" t="str">
        <f>HYPERLINK("https%3A%2F%2Fwww.webofscience.com%2Fwos%2Fwoscc%2Ffull-record%2FWOS:000260430300150","View Full Record in Web of Science")</f>
        <v>View Full Record in Web of Science</v>
      </c>
    </row>
    <row r="269" spans="1:72" x14ac:dyDescent="0.15">
      <c r="A269" t="s">
        <v>816</v>
      </c>
      <c r="B269" t="s">
        <v>4636</v>
      </c>
      <c r="C269" t="s">
        <v>74</v>
      </c>
      <c r="D269" t="s">
        <v>4549</v>
      </c>
      <c r="E269" t="s">
        <v>74</v>
      </c>
      <c r="F269" t="s">
        <v>4637</v>
      </c>
      <c r="G269" t="s">
        <v>74</v>
      </c>
      <c r="H269" t="s">
        <v>74</v>
      </c>
      <c r="I269" t="s">
        <v>4638</v>
      </c>
      <c r="J269" t="s">
        <v>4552</v>
      </c>
      <c r="K269" t="s">
        <v>1344</v>
      </c>
      <c r="L269" t="s">
        <v>74</v>
      </c>
      <c r="M269" t="s">
        <v>78</v>
      </c>
      <c r="N269" t="s">
        <v>823</v>
      </c>
      <c r="O269" t="s">
        <v>4495</v>
      </c>
      <c r="P269" t="s">
        <v>1346</v>
      </c>
      <c r="Q269" t="s">
        <v>1347</v>
      </c>
      <c r="R269" t="s">
        <v>74</v>
      </c>
      <c r="S269" t="s">
        <v>74</v>
      </c>
      <c r="T269" t="s">
        <v>4639</v>
      </c>
      <c r="U269" t="s">
        <v>4640</v>
      </c>
      <c r="V269" t="s">
        <v>4641</v>
      </c>
      <c r="W269" t="s">
        <v>4642</v>
      </c>
      <c r="X269" t="s">
        <v>1068</v>
      </c>
      <c r="Y269" t="s">
        <v>4643</v>
      </c>
      <c r="Z269" t="s">
        <v>4644</v>
      </c>
      <c r="AA269" t="s">
        <v>1166</v>
      </c>
      <c r="AB269" t="s">
        <v>4645</v>
      </c>
      <c r="AC269" t="s">
        <v>74</v>
      </c>
      <c r="AD269" t="s">
        <v>74</v>
      </c>
      <c r="AE269" t="s">
        <v>74</v>
      </c>
      <c r="AF269" t="s">
        <v>74</v>
      </c>
      <c r="AG269">
        <v>38</v>
      </c>
      <c r="AH269">
        <v>14</v>
      </c>
      <c r="AI269">
        <v>15</v>
      </c>
      <c r="AJ269">
        <v>0</v>
      </c>
      <c r="AK269">
        <v>5</v>
      </c>
      <c r="AL269" t="s">
        <v>1354</v>
      </c>
      <c r="AM269" t="s">
        <v>1355</v>
      </c>
      <c r="AN269" t="s">
        <v>1356</v>
      </c>
      <c r="AO269" t="s">
        <v>1357</v>
      </c>
      <c r="AP269" t="s">
        <v>1358</v>
      </c>
      <c r="AQ269" t="s">
        <v>4558</v>
      </c>
      <c r="AR269" t="s">
        <v>1360</v>
      </c>
      <c r="AS269" t="s">
        <v>74</v>
      </c>
      <c r="AT269" t="s">
        <v>74</v>
      </c>
      <c r="AU269">
        <v>2008</v>
      </c>
      <c r="AV269">
        <v>7012</v>
      </c>
      <c r="AW269" t="s">
        <v>74</v>
      </c>
      <c r="AX269" t="s">
        <v>1361</v>
      </c>
      <c r="AY269" t="s">
        <v>74</v>
      </c>
      <c r="AZ269" t="s">
        <v>74</v>
      </c>
      <c r="BA269" t="s">
        <v>74</v>
      </c>
      <c r="BB269" t="s">
        <v>74</v>
      </c>
      <c r="BC269" t="s">
        <v>74</v>
      </c>
      <c r="BD269">
        <v>701227</v>
      </c>
      <c r="BE269" t="s">
        <v>4646</v>
      </c>
      <c r="BF269" t="str">
        <f>HYPERLINK("http://dx.doi.org/10.1117/12.787166","http://dx.doi.org/10.1117/12.787166")</f>
        <v>http://dx.doi.org/10.1117/12.787166</v>
      </c>
      <c r="BG269" t="s">
        <v>74</v>
      </c>
      <c r="BH269" t="s">
        <v>74</v>
      </c>
      <c r="BI269">
        <v>12</v>
      </c>
      <c r="BJ269" t="s">
        <v>4561</v>
      </c>
      <c r="BK269" t="s">
        <v>842</v>
      </c>
      <c r="BL269" t="s">
        <v>4561</v>
      </c>
      <c r="BM269" t="s">
        <v>4562</v>
      </c>
      <c r="BN269" t="s">
        <v>74</v>
      </c>
      <c r="BO269" t="s">
        <v>250</v>
      </c>
      <c r="BP269" t="s">
        <v>74</v>
      </c>
      <c r="BQ269" t="s">
        <v>74</v>
      </c>
      <c r="BR269" t="s">
        <v>100</v>
      </c>
      <c r="BS269" t="s">
        <v>4647</v>
      </c>
      <c r="BT269" t="str">
        <f>HYPERLINK("https%3A%2F%2Fwww.webofscience.com%2Fwos%2Fwoscc%2Ffull-record%2FWOS:000260430300078","View Full Record in Web of Science")</f>
        <v>View Full Record in Web of Science</v>
      </c>
    </row>
    <row r="270" spans="1:72" x14ac:dyDescent="0.15">
      <c r="A270" t="s">
        <v>816</v>
      </c>
      <c r="B270" t="s">
        <v>4648</v>
      </c>
      <c r="C270" t="s">
        <v>74</v>
      </c>
      <c r="D270" t="s">
        <v>4549</v>
      </c>
      <c r="E270" t="s">
        <v>74</v>
      </c>
      <c r="F270" t="s">
        <v>4649</v>
      </c>
      <c r="G270" t="s">
        <v>74</v>
      </c>
      <c r="H270" t="s">
        <v>74</v>
      </c>
      <c r="I270" t="s">
        <v>4650</v>
      </c>
      <c r="J270" t="s">
        <v>4552</v>
      </c>
      <c r="K270" t="s">
        <v>1344</v>
      </c>
      <c r="L270" t="s">
        <v>74</v>
      </c>
      <c r="M270" t="s">
        <v>78</v>
      </c>
      <c r="N270" t="s">
        <v>823</v>
      </c>
      <c r="O270" t="s">
        <v>4495</v>
      </c>
      <c r="P270" t="s">
        <v>1346</v>
      </c>
      <c r="Q270" t="s">
        <v>1347</v>
      </c>
      <c r="R270" t="s">
        <v>74</v>
      </c>
      <c r="S270" t="s">
        <v>74</v>
      </c>
      <c r="T270" t="s">
        <v>4651</v>
      </c>
      <c r="U270" t="s">
        <v>74</v>
      </c>
      <c r="V270" t="s">
        <v>4652</v>
      </c>
      <c r="W270" t="s">
        <v>4653</v>
      </c>
      <c r="X270" t="s">
        <v>4654</v>
      </c>
      <c r="Y270" t="s">
        <v>4655</v>
      </c>
      <c r="Z270" t="s">
        <v>74</v>
      </c>
      <c r="AA270" t="s">
        <v>4656</v>
      </c>
      <c r="AB270" t="s">
        <v>4657</v>
      </c>
      <c r="AC270" t="s">
        <v>74</v>
      </c>
      <c r="AD270" t="s">
        <v>74</v>
      </c>
      <c r="AE270" t="s">
        <v>74</v>
      </c>
      <c r="AF270" t="s">
        <v>74</v>
      </c>
      <c r="AG270">
        <v>4</v>
      </c>
      <c r="AH270">
        <v>8</v>
      </c>
      <c r="AI270">
        <v>8</v>
      </c>
      <c r="AJ270">
        <v>0</v>
      </c>
      <c r="AK270">
        <v>5</v>
      </c>
      <c r="AL270" t="s">
        <v>1354</v>
      </c>
      <c r="AM270" t="s">
        <v>1355</v>
      </c>
      <c r="AN270" t="s">
        <v>1356</v>
      </c>
      <c r="AO270" t="s">
        <v>1357</v>
      </c>
      <c r="AP270" t="s">
        <v>1358</v>
      </c>
      <c r="AQ270" t="s">
        <v>4558</v>
      </c>
      <c r="AR270" t="s">
        <v>1360</v>
      </c>
      <c r="AS270" t="s">
        <v>74</v>
      </c>
      <c r="AT270" t="s">
        <v>74</v>
      </c>
      <c r="AU270">
        <v>2008</v>
      </c>
      <c r="AV270">
        <v>7012</v>
      </c>
      <c r="AW270" t="s">
        <v>74</v>
      </c>
      <c r="AX270" t="s">
        <v>1361</v>
      </c>
      <c r="AY270" t="s">
        <v>74</v>
      </c>
      <c r="AZ270" t="s">
        <v>74</v>
      </c>
      <c r="BA270" t="s">
        <v>74</v>
      </c>
      <c r="BB270" t="s">
        <v>74</v>
      </c>
      <c r="BC270" t="s">
        <v>74</v>
      </c>
      <c r="BD270">
        <v>701226</v>
      </c>
      <c r="BE270" t="s">
        <v>4658</v>
      </c>
      <c r="BF270" t="str">
        <f>HYPERLINK("http://dx.doi.org/10.1117/12.789783","http://dx.doi.org/10.1117/12.789783")</f>
        <v>http://dx.doi.org/10.1117/12.789783</v>
      </c>
      <c r="BG270" t="s">
        <v>74</v>
      </c>
      <c r="BH270" t="s">
        <v>74</v>
      </c>
      <c r="BI270">
        <v>10</v>
      </c>
      <c r="BJ270" t="s">
        <v>4561</v>
      </c>
      <c r="BK270" t="s">
        <v>842</v>
      </c>
      <c r="BL270" t="s">
        <v>4561</v>
      </c>
      <c r="BM270" t="s">
        <v>4562</v>
      </c>
      <c r="BN270" t="s">
        <v>74</v>
      </c>
      <c r="BO270" t="s">
        <v>2528</v>
      </c>
      <c r="BP270" t="s">
        <v>74</v>
      </c>
      <c r="BQ270" t="s">
        <v>74</v>
      </c>
      <c r="BR270" t="s">
        <v>100</v>
      </c>
      <c r="BS270" t="s">
        <v>4659</v>
      </c>
      <c r="BT270" t="str">
        <f>HYPERLINK("https%3A%2F%2Fwww.webofscience.com%2Fwos%2Fwoscc%2Ffull-record%2FWOS:000260430300077","View Full Record in Web of Science")</f>
        <v>View Full Record in Web of Science</v>
      </c>
    </row>
    <row r="271" spans="1:72" x14ac:dyDescent="0.15">
      <c r="A271" t="s">
        <v>816</v>
      </c>
      <c r="B271" t="s">
        <v>4660</v>
      </c>
      <c r="C271" t="s">
        <v>74</v>
      </c>
      <c r="D271" t="s">
        <v>4549</v>
      </c>
      <c r="E271" t="s">
        <v>74</v>
      </c>
      <c r="F271" t="s">
        <v>4661</v>
      </c>
      <c r="G271" t="s">
        <v>74</v>
      </c>
      <c r="H271" t="s">
        <v>74</v>
      </c>
      <c r="I271" t="s">
        <v>4662</v>
      </c>
      <c r="J271" t="s">
        <v>4552</v>
      </c>
      <c r="K271" t="s">
        <v>1344</v>
      </c>
      <c r="L271" t="s">
        <v>74</v>
      </c>
      <c r="M271" t="s">
        <v>78</v>
      </c>
      <c r="N271" t="s">
        <v>823</v>
      </c>
      <c r="O271" t="s">
        <v>4495</v>
      </c>
      <c r="P271" t="s">
        <v>1346</v>
      </c>
      <c r="Q271" t="s">
        <v>1347</v>
      </c>
      <c r="R271" t="s">
        <v>74</v>
      </c>
      <c r="S271" t="s">
        <v>74</v>
      </c>
      <c r="T271" t="s">
        <v>4663</v>
      </c>
      <c r="U271" t="s">
        <v>4664</v>
      </c>
      <c r="V271" t="s">
        <v>4665</v>
      </c>
      <c r="W271" t="s">
        <v>4666</v>
      </c>
      <c r="X271" t="s">
        <v>4667</v>
      </c>
      <c r="Y271" t="s">
        <v>4668</v>
      </c>
      <c r="Z271" t="s">
        <v>74</v>
      </c>
      <c r="AA271" t="s">
        <v>74</v>
      </c>
      <c r="AB271" t="s">
        <v>4669</v>
      </c>
      <c r="AC271" t="s">
        <v>74</v>
      </c>
      <c r="AD271" t="s">
        <v>74</v>
      </c>
      <c r="AE271" t="s">
        <v>74</v>
      </c>
      <c r="AF271" t="s">
        <v>74</v>
      </c>
      <c r="AG271">
        <v>23</v>
      </c>
      <c r="AH271">
        <v>0</v>
      </c>
      <c r="AI271">
        <v>0</v>
      </c>
      <c r="AJ271">
        <v>0</v>
      </c>
      <c r="AK271">
        <v>0</v>
      </c>
      <c r="AL271" t="s">
        <v>1354</v>
      </c>
      <c r="AM271" t="s">
        <v>1355</v>
      </c>
      <c r="AN271" t="s">
        <v>1356</v>
      </c>
      <c r="AO271" t="s">
        <v>1357</v>
      </c>
      <c r="AP271" t="s">
        <v>1358</v>
      </c>
      <c r="AQ271" t="s">
        <v>4558</v>
      </c>
      <c r="AR271" t="s">
        <v>1360</v>
      </c>
      <c r="AS271" t="s">
        <v>74</v>
      </c>
      <c r="AT271" t="s">
        <v>74</v>
      </c>
      <c r="AU271">
        <v>2008</v>
      </c>
      <c r="AV271">
        <v>7012</v>
      </c>
      <c r="AW271" t="s">
        <v>74</v>
      </c>
      <c r="AX271" t="s">
        <v>1361</v>
      </c>
      <c r="AY271" t="s">
        <v>74</v>
      </c>
      <c r="AZ271" t="s">
        <v>74</v>
      </c>
      <c r="BA271" t="s">
        <v>74</v>
      </c>
      <c r="BB271" t="s">
        <v>74</v>
      </c>
      <c r="BC271" t="s">
        <v>74</v>
      </c>
      <c r="BD271" t="s">
        <v>4670</v>
      </c>
      <c r="BE271" t="s">
        <v>4671</v>
      </c>
      <c r="BF271" t="str">
        <f>HYPERLINK("http://dx.doi.org/10.1117/12.790281","http://dx.doi.org/10.1117/12.790281")</f>
        <v>http://dx.doi.org/10.1117/12.790281</v>
      </c>
      <c r="BG271" t="s">
        <v>74</v>
      </c>
      <c r="BH271" t="s">
        <v>74</v>
      </c>
      <c r="BI271">
        <v>11</v>
      </c>
      <c r="BJ271" t="s">
        <v>4561</v>
      </c>
      <c r="BK271" t="s">
        <v>842</v>
      </c>
      <c r="BL271" t="s">
        <v>4561</v>
      </c>
      <c r="BM271" t="s">
        <v>4562</v>
      </c>
      <c r="BN271" t="s">
        <v>74</v>
      </c>
      <c r="BO271" t="s">
        <v>250</v>
      </c>
      <c r="BP271" t="s">
        <v>74</v>
      </c>
      <c r="BQ271" t="s">
        <v>74</v>
      </c>
      <c r="BR271" t="s">
        <v>100</v>
      </c>
      <c r="BS271" t="s">
        <v>4672</v>
      </c>
      <c r="BT271" t="str">
        <f>HYPERLINK("https%3A%2F%2Fwww.webofscience.com%2Fwos%2Fwoscc%2Ffull-record%2FWOS:000260430300081","View Full Record in Web of Science")</f>
        <v>View Full Record in Web of Science</v>
      </c>
    </row>
    <row r="272" spans="1:72" x14ac:dyDescent="0.15">
      <c r="A272" t="s">
        <v>816</v>
      </c>
      <c r="B272" t="s">
        <v>4673</v>
      </c>
      <c r="C272" t="s">
        <v>74</v>
      </c>
      <c r="D272" t="s">
        <v>4549</v>
      </c>
      <c r="E272" t="s">
        <v>74</v>
      </c>
      <c r="F272" t="s">
        <v>4674</v>
      </c>
      <c r="G272" t="s">
        <v>74</v>
      </c>
      <c r="H272" t="s">
        <v>74</v>
      </c>
      <c r="I272" t="s">
        <v>4675</v>
      </c>
      <c r="J272" t="s">
        <v>4552</v>
      </c>
      <c r="K272" t="s">
        <v>1344</v>
      </c>
      <c r="L272" t="s">
        <v>74</v>
      </c>
      <c r="M272" t="s">
        <v>78</v>
      </c>
      <c r="N272" t="s">
        <v>823</v>
      </c>
      <c r="O272" t="s">
        <v>4495</v>
      </c>
      <c r="P272" t="s">
        <v>1346</v>
      </c>
      <c r="Q272" t="s">
        <v>1347</v>
      </c>
      <c r="R272" t="s">
        <v>74</v>
      </c>
      <c r="S272" t="s">
        <v>74</v>
      </c>
      <c r="T272" t="s">
        <v>4676</v>
      </c>
      <c r="U272" t="s">
        <v>4117</v>
      </c>
      <c r="V272" t="s">
        <v>4677</v>
      </c>
      <c r="W272" t="s">
        <v>4678</v>
      </c>
      <c r="X272" t="s">
        <v>1068</v>
      </c>
      <c r="Y272" t="s">
        <v>4542</v>
      </c>
      <c r="Z272" t="s">
        <v>4543</v>
      </c>
      <c r="AA272" t="s">
        <v>74</v>
      </c>
      <c r="AB272" t="s">
        <v>4679</v>
      </c>
      <c r="AC272" t="s">
        <v>74</v>
      </c>
      <c r="AD272" t="s">
        <v>74</v>
      </c>
      <c r="AE272" t="s">
        <v>74</v>
      </c>
      <c r="AF272" t="s">
        <v>74</v>
      </c>
      <c r="AG272">
        <v>16</v>
      </c>
      <c r="AH272">
        <v>7</v>
      </c>
      <c r="AI272">
        <v>7</v>
      </c>
      <c r="AJ272">
        <v>0</v>
      </c>
      <c r="AK272">
        <v>1</v>
      </c>
      <c r="AL272" t="s">
        <v>1354</v>
      </c>
      <c r="AM272" t="s">
        <v>1355</v>
      </c>
      <c r="AN272" t="s">
        <v>1356</v>
      </c>
      <c r="AO272" t="s">
        <v>1357</v>
      </c>
      <c r="AP272" t="s">
        <v>1358</v>
      </c>
      <c r="AQ272" t="s">
        <v>4558</v>
      </c>
      <c r="AR272" t="s">
        <v>1360</v>
      </c>
      <c r="AS272" t="s">
        <v>74</v>
      </c>
      <c r="AT272" t="s">
        <v>74</v>
      </c>
      <c r="AU272">
        <v>2008</v>
      </c>
      <c r="AV272">
        <v>7012</v>
      </c>
      <c r="AW272" t="s">
        <v>74</v>
      </c>
      <c r="AX272" t="s">
        <v>1361</v>
      </c>
      <c r="AY272" t="s">
        <v>74</v>
      </c>
      <c r="AZ272" t="s">
        <v>74</v>
      </c>
      <c r="BA272" t="s">
        <v>74</v>
      </c>
      <c r="BB272" t="s">
        <v>74</v>
      </c>
      <c r="BC272" t="s">
        <v>74</v>
      </c>
      <c r="BD272" t="s">
        <v>4680</v>
      </c>
      <c r="BE272" t="s">
        <v>4681</v>
      </c>
      <c r="BF272" t="str">
        <f>HYPERLINK("http://dx.doi.org/10.1117/12.788651","http://dx.doi.org/10.1117/12.788651")</f>
        <v>http://dx.doi.org/10.1117/12.788651</v>
      </c>
      <c r="BG272" t="s">
        <v>74</v>
      </c>
      <c r="BH272" t="s">
        <v>74</v>
      </c>
      <c r="BI272">
        <v>9</v>
      </c>
      <c r="BJ272" t="s">
        <v>4561</v>
      </c>
      <c r="BK272" t="s">
        <v>842</v>
      </c>
      <c r="BL272" t="s">
        <v>4561</v>
      </c>
      <c r="BM272" t="s">
        <v>4562</v>
      </c>
      <c r="BN272" t="s">
        <v>74</v>
      </c>
      <c r="BO272" t="s">
        <v>74</v>
      </c>
      <c r="BP272" t="s">
        <v>74</v>
      </c>
      <c r="BQ272" t="s">
        <v>74</v>
      </c>
      <c r="BR272" t="s">
        <v>100</v>
      </c>
      <c r="BS272" t="s">
        <v>4682</v>
      </c>
      <c r="BT272" t="str">
        <f>HYPERLINK("https%3A%2F%2Fwww.webofscience.com%2Fwos%2Fwoscc%2Ffull-record%2FWOS:000260430300152","View Full Record in Web of Science")</f>
        <v>View Full Record in Web of Science</v>
      </c>
    </row>
    <row r="273" spans="1:72" x14ac:dyDescent="0.15">
      <c r="A273" t="s">
        <v>816</v>
      </c>
      <c r="B273" t="s">
        <v>4683</v>
      </c>
      <c r="C273" t="s">
        <v>74</v>
      </c>
      <c r="D273" t="s">
        <v>4549</v>
      </c>
      <c r="E273" t="s">
        <v>74</v>
      </c>
      <c r="F273" t="s">
        <v>4684</v>
      </c>
      <c r="G273" t="s">
        <v>74</v>
      </c>
      <c r="H273" t="s">
        <v>74</v>
      </c>
      <c r="I273" t="s">
        <v>4685</v>
      </c>
      <c r="J273" t="s">
        <v>4552</v>
      </c>
      <c r="K273" t="s">
        <v>1344</v>
      </c>
      <c r="L273" t="s">
        <v>74</v>
      </c>
      <c r="M273" t="s">
        <v>78</v>
      </c>
      <c r="N273" t="s">
        <v>823</v>
      </c>
      <c r="O273" t="s">
        <v>4495</v>
      </c>
      <c r="P273" t="s">
        <v>1346</v>
      </c>
      <c r="Q273" t="s">
        <v>1347</v>
      </c>
      <c r="R273" t="s">
        <v>74</v>
      </c>
      <c r="S273" t="s">
        <v>74</v>
      </c>
      <c r="T273" t="s">
        <v>4686</v>
      </c>
      <c r="U273" t="s">
        <v>74</v>
      </c>
      <c r="V273" t="s">
        <v>4687</v>
      </c>
      <c r="W273" t="s">
        <v>4688</v>
      </c>
      <c r="X273" t="s">
        <v>4689</v>
      </c>
      <c r="Y273" t="s">
        <v>4690</v>
      </c>
      <c r="Z273" t="s">
        <v>4691</v>
      </c>
      <c r="AA273" t="s">
        <v>4692</v>
      </c>
      <c r="AB273" t="s">
        <v>4693</v>
      </c>
      <c r="AC273" t="s">
        <v>4694</v>
      </c>
      <c r="AD273" t="s">
        <v>4695</v>
      </c>
      <c r="AE273" t="s">
        <v>4696</v>
      </c>
      <c r="AF273" t="s">
        <v>74</v>
      </c>
      <c r="AG273">
        <v>5</v>
      </c>
      <c r="AH273">
        <v>0</v>
      </c>
      <c r="AI273">
        <v>0</v>
      </c>
      <c r="AJ273">
        <v>0</v>
      </c>
      <c r="AK273">
        <v>1</v>
      </c>
      <c r="AL273" t="s">
        <v>1354</v>
      </c>
      <c r="AM273" t="s">
        <v>1355</v>
      </c>
      <c r="AN273" t="s">
        <v>1356</v>
      </c>
      <c r="AO273" t="s">
        <v>1357</v>
      </c>
      <c r="AP273" t="s">
        <v>1358</v>
      </c>
      <c r="AQ273" t="s">
        <v>4558</v>
      </c>
      <c r="AR273" t="s">
        <v>1360</v>
      </c>
      <c r="AS273" t="s">
        <v>74</v>
      </c>
      <c r="AT273" t="s">
        <v>74</v>
      </c>
      <c r="AU273">
        <v>2008</v>
      </c>
      <c r="AV273">
        <v>7012</v>
      </c>
      <c r="AW273" t="s">
        <v>74</v>
      </c>
      <c r="AX273" t="s">
        <v>1361</v>
      </c>
      <c r="AY273" t="s">
        <v>74</v>
      </c>
      <c r="AZ273" t="s">
        <v>74</v>
      </c>
      <c r="BA273" t="s">
        <v>74</v>
      </c>
      <c r="BB273" t="s">
        <v>74</v>
      </c>
      <c r="BC273" t="s">
        <v>74</v>
      </c>
      <c r="BD273" t="s">
        <v>4697</v>
      </c>
      <c r="BE273" t="s">
        <v>4698</v>
      </c>
      <c r="BF273" t="str">
        <f>HYPERLINK("http://dx.doi.org/10.1117/12.789531","http://dx.doi.org/10.1117/12.789531")</f>
        <v>http://dx.doi.org/10.1117/12.789531</v>
      </c>
      <c r="BG273" t="s">
        <v>74</v>
      </c>
      <c r="BH273" t="s">
        <v>74</v>
      </c>
      <c r="BI273">
        <v>12</v>
      </c>
      <c r="BJ273" t="s">
        <v>4561</v>
      </c>
      <c r="BK273" t="s">
        <v>842</v>
      </c>
      <c r="BL273" t="s">
        <v>4561</v>
      </c>
      <c r="BM273" t="s">
        <v>4562</v>
      </c>
      <c r="BN273" t="s">
        <v>74</v>
      </c>
      <c r="BO273" t="s">
        <v>1050</v>
      </c>
      <c r="BP273" t="s">
        <v>74</v>
      </c>
      <c r="BQ273" t="s">
        <v>74</v>
      </c>
      <c r="BR273" t="s">
        <v>100</v>
      </c>
      <c r="BS273" t="s">
        <v>4699</v>
      </c>
      <c r="BT273" t="str">
        <f>HYPERLINK("https%3A%2F%2Fwww.webofscience.com%2Fwos%2Fwoscc%2Ffull-record%2FWOS:000260430300066","View Full Record in Web of Science")</f>
        <v>View Full Record in Web of Science</v>
      </c>
    </row>
    <row r="274" spans="1:72" x14ac:dyDescent="0.15">
      <c r="A274" t="s">
        <v>816</v>
      </c>
      <c r="B274" t="s">
        <v>4700</v>
      </c>
      <c r="C274" t="s">
        <v>74</v>
      </c>
      <c r="D274" t="s">
        <v>4549</v>
      </c>
      <c r="E274" t="s">
        <v>74</v>
      </c>
      <c r="F274" t="s">
        <v>4701</v>
      </c>
      <c r="G274" t="s">
        <v>74</v>
      </c>
      <c r="H274" t="s">
        <v>74</v>
      </c>
      <c r="I274" t="s">
        <v>4702</v>
      </c>
      <c r="J274" t="s">
        <v>4552</v>
      </c>
      <c r="K274" t="s">
        <v>1344</v>
      </c>
      <c r="L274" t="s">
        <v>74</v>
      </c>
      <c r="M274" t="s">
        <v>78</v>
      </c>
      <c r="N274" t="s">
        <v>823</v>
      </c>
      <c r="O274" t="s">
        <v>4495</v>
      </c>
      <c r="P274" t="s">
        <v>1346</v>
      </c>
      <c r="Q274" t="s">
        <v>1347</v>
      </c>
      <c r="R274" t="s">
        <v>74</v>
      </c>
      <c r="S274" t="s">
        <v>74</v>
      </c>
      <c r="T274" t="s">
        <v>4703</v>
      </c>
      <c r="U274" t="s">
        <v>74</v>
      </c>
      <c r="V274" t="s">
        <v>4704</v>
      </c>
      <c r="W274" t="s">
        <v>4705</v>
      </c>
      <c r="X274" t="s">
        <v>4706</v>
      </c>
      <c r="Y274" t="s">
        <v>4707</v>
      </c>
      <c r="Z274" t="s">
        <v>4708</v>
      </c>
      <c r="AA274" t="s">
        <v>74</v>
      </c>
      <c r="AB274" t="s">
        <v>1380</v>
      </c>
      <c r="AC274" t="s">
        <v>74</v>
      </c>
      <c r="AD274" t="s">
        <v>74</v>
      </c>
      <c r="AE274" t="s">
        <v>74</v>
      </c>
      <c r="AF274" t="s">
        <v>74</v>
      </c>
      <c r="AG274">
        <v>7</v>
      </c>
      <c r="AH274">
        <v>32</v>
      </c>
      <c r="AI274">
        <v>38</v>
      </c>
      <c r="AJ274">
        <v>1</v>
      </c>
      <c r="AK274">
        <v>5</v>
      </c>
      <c r="AL274" t="s">
        <v>1354</v>
      </c>
      <c r="AM274" t="s">
        <v>1355</v>
      </c>
      <c r="AN274" t="s">
        <v>1356</v>
      </c>
      <c r="AO274" t="s">
        <v>1357</v>
      </c>
      <c r="AP274" t="s">
        <v>1358</v>
      </c>
      <c r="AQ274" t="s">
        <v>4558</v>
      </c>
      <c r="AR274" t="s">
        <v>1360</v>
      </c>
      <c r="AS274" t="s">
        <v>74</v>
      </c>
      <c r="AT274" t="s">
        <v>74</v>
      </c>
      <c r="AU274">
        <v>2008</v>
      </c>
      <c r="AV274">
        <v>7012</v>
      </c>
      <c r="AW274" t="s">
        <v>74</v>
      </c>
      <c r="AX274" t="s">
        <v>1361</v>
      </c>
      <c r="AY274" t="s">
        <v>74</v>
      </c>
      <c r="AZ274" t="s">
        <v>74</v>
      </c>
      <c r="BA274" t="s">
        <v>74</v>
      </c>
      <c r="BB274" t="s">
        <v>74</v>
      </c>
      <c r="BC274" t="s">
        <v>74</v>
      </c>
      <c r="BD274" t="s">
        <v>4709</v>
      </c>
      <c r="BE274" t="s">
        <v>4710</v>
      </c>
      <c r="BF274" t="str">
        <f>HYPERLINK("http://dx.doi.org/10.1117/12.788748","http://dx.doi.org/10.1117/12.788748")</f>
        <v>http://dx.doi.org/10.1117/12.788748</v>
      </c>
      <c r="BG274" t="s">
        <v>74</v>
      </c>
      <c r="BH274" t="s">
        <v>74</v>
      </c>
      <c r="BI274">
        <v>8</v>
      </c>
      <c r="BJ274" t="s">
        <v>4561</v>
      </c>
      <c r="BK274" t="s">
        <v>842</v>
      </c>
      <c r="BL274" t="s">
        <v>4561</v>
      </c>
      <c r="BM274" t="s">
        <v>4562</v>
      </c>
      <c r="BN274" t="s">
        <v>74</v>
      </c>
      <c r="BO274" t="s">
        <v>74</v>
      </c>
      <c r="BP274" t="s">
        <v>74</v>
      </c>
      <c r="BQ274" t="s">
        <v>74</v>
      </c>
      <c r="BR274" t="s">
        <v>100</v>
      </c>
      <c r="BS274" t="s">
        <v>4711</v>
      </c>
      <c r="BT274" t="str">
        <f>HYPERLINK("https%3A%2F%2Fwww.webofscience.com%2Fwos%2Fwoscc%2Ffull-record%2FWOS:000260430300153","View Full Record in Web of Science")</f>
        <v>View Full Record in Web of Science</v>
      </c>
    </row>
    <row r="275" spans="1:72" x14ac:dyDescent="0.15">
      <c r="A275" t="s">
        <v>816</v>
      </c>
      <c r="B275" t="s">
        <v>4712</v>
      </c>
      <c r="C275" t="s">
        <v>74</v>
      </c>
      <c r="D275" t="s">
        <v>4713</v>
      </c>
      <c r="E275" t="s">
        <v>74</v>
      </c>
      <c r="F275" t="s">
        <v>4714</v>
      </c>
      <c r="G275" t="s">
        <v>74</v>
      </c>
      <c r="H275" t="s">
        <v>74</v>
      </c>
      <c r="I275" t="s">
        <v>4715</v>
      </c>
      <c r="J275" t="s">
        <v>4716</v>
      </c>
      <c r="K275" t="s">
        <v>74</v>
      </c>
      <c r="L275" t="s">
        <v>74</v>
      </c>
      <c r="M275" t="s">
        <v>78</v>
      </c>
      <c r="N275" t="s">
        <v>823</v>
      </c>
      <c r="O275" t="s">
        <v>4717</v>
      </c>
      <c r="P275" t="s">
        <v>4718</v>
      </c>
      <c r="Q275" t="s">
        <v>4719</v>
      </c>
      <c r="R275" t="s">
        <v>74</v>
      </c>
      <c r="S275" t="s">
        <v>4720</v>
      </c>
      <c r="T275" t="s">
        <v>74</v>
      </c>
      <c r="U275" t="s">
        <v>4721</v>
      </c>
      <c r="V275" t="s">
        <v>4722</v>
      </c>
      <c r="W275" t="s">
        <v>4723</v>
      </c>
      <c r="X275" t="s">
        <v>4724</v>
      </c>
      <c r="Y275" t="s">
        <v>4725</v>
      </c>
      <c r="Z275" t="s">
        <v>74</v>
      </c>
      <c r="AA275" t="s">
        <v>4726</v>
      </c>
      <c r="AB275" t="s">
        <v>4727</v>
      </c>
      <c r="AC275" t="s">
        <v>74</v>
      </c>
      <c r="AD275" t="s">
        <v>74</v>
      </c>
      <c r="AE275" t="s">
        <v>74</v>
      </c>
      <c r="AF275" t="s">
        <v>74</v>
      </c>
      <c r="AG275">
        <v>33</v>
      </c>
      <c r="AH275">
        <v>176</v>
      </c>
      <c r="AI275">
        <v>181</v>
      </c>
      <c r="AJ275">
        <v>0</v>
      </c>
      <c r="AK275">
        <v>13</v>
      </c>
      <c r="AL275" t="s">
        <v>1265</v>
      </c>
      <c r="AM275" t="s">
        <v>662</v>
      </c>
      <c r="AN275" t="s">
        <v>4728</v>
      </c>
      <c r="AO275" t="s">
        <v>74</v>
      </c>
      <c r="AP275" t="s">
        <v>74</v>
      </c>
      <c r="AQ275" t="s">
        <v>4729</v>
      </c>
      <c r="AR275" t="s">
        <v>74</v>
      </c>
      <c r="AS275" t="s">
        <v>74</v>
      </c>
      <c r="AT275" t="s">
        <v>74</v>
      </c>
      <c r="AU275">
        <v>2008</v>
      </c>
      <c r="AV275" t="s">
        <v>74</v>
      </c>
      <c r="AW275" t="s">
        <v>74</v>
      </c>
      <c r="AX275" t="s">
        <v>74</v>
      </c>
      <c r="AY275" t="s">
        <v>74</v>
      </c>
      <c r="AZ275" t="s">
        <v>74</v>
      </c>
      <c r="BA275" t="s">
        <v>74</v>
      </c>
      <c r="BB275">
        <v>51</v>
      </c>
      <c r="BC275">
        <v>75</v>
      </c>
      <c r="BD275" t="s">
        <v>74</v>
      </c>
      <c r="BE275" t="s">
        <v>4730</v>
      </c>
      <c r="BF275" t="str">
        <f>HYPERLINK("http://dx.doi.org/10.1007/978-0-387-49791-4_4","http://dx.doi.org/10.1007/978-0-387-49791-4_4")</f>
        <v>http://dx.doi.org/10.1007/978-0-387-49791-4_4</v>
      </c>
      <c r="BG275" t="s">
        <v>74</v>
      </c>
      <c r="BH275" t="s">
        <v>74</v>
      </c>
      <c r="BI275">
        <v>25</v>
      </c>
      <c r="BJ275" t="s">
        <v>204</v>
      </c>
      <c r="BK275" t="s">
        <v>842</v>
      </c>
      <c r="BL275" t="s">
        <v>204</v>
      </c>
      <c r="BM275" t="s">
        <v>4731</v>
      </c>
      <c r="BN275" t="s">
        <v>74</v>
      </c>
      <c r="BO275" t="s">
        <v>74</v>
      </c>
      <c r="BP275" t="s">
        <v>74</v>
      </c>
      <c r="BQ275" t="s">
        <v>74</v>
      </c>
      <c r="BR275" t="s">
        <v>100</v>
      </c>
      <c r="BS275" t="s">
        <v>4732</v>
      </c>
      <c r="BT275" t="str">
        <f>HYPERLINK("https%3A%2F%2Fwww.webofscience.com%2Fwos%2Fwoscc%2Ffull-record%2FWOS:000252233800004","View Full Record in Web of Science")</f>
        <v>View Full Record in Web of Science</v>
      </c>
    </row>
    <row r="276" spans="1:72" x14ac:dyDescent="0.15">
      <c r="A276" t="s">
        <v>816</v>
      </c>
      <c r="B276" t="s">
        <v>4733</v>
      </c>
      <c r="C276" t="s">
        <v>74</v>
      </c>
      <c r="D276" t="s">
        <v>4713</v>
      </c>
      <c r="E276" t="s">
        <v>74</v>
      </c>
      <c r="F276" t="s">
        <v>4734</v>
      </c>
      <c r="G276" t="s">
        <v>74</v>
      </c>
      <c r="H276" t="s">
        <v>74</v>
      </c>
      <c r="I276" t="s">
        <v>4735</v>
      </c>
      <c r="J276" t="s">
        <v>4716</v>
      </c>
      <c r="K276" t="s">
        <v>74</v>
      </c>
      <c r="L276" t="s">
        <v>74</v>
      </c>
      <c r="M276" t="s">
        <v>78</v>
      </c>
      <c r="N276" t="s">
        <v>823</v>
      </c>
      <c r="O276" t="s">
        <v>4717</v>
      </c>
      <c r="P276" t="s">
        <v>4718</v>
      </c>
      <c r="Q276" t="s">
        <v>4719</v>
      </c>
      <c r="R276" t="s">
        <v>74</v>
      </c>
      <c r="S276" t="s">
        <v>4720</v>
      </c>
      <c r="T276" t="s">
        <v>74</v>
      </c>
      <c r="U276" t="s">
        <v>4736</v>
      </c>
      <c r="V276" t="s">
        <v>4737</v>
      </c>
      <c r="W276" t="s">
        <v>4738</v>
      </c>
      <c r="X276" t="s">
        <v>4739</v>
      </c>
      <c r="Y276" t="s">
        <v>4740</v>
      </c>
      <c r="Z276" t="s">
        <v>74</v>
      </c>
      <c r="AA276" t="s">
        <v>4741</v>
      </c>
      <c r="AB276" t="s">
        <v>4742</v>
      </c>
      <c r="AC276" t="s">
        <v>74</v>
      </c>
      <c r="AD276" t="s">
        <v>74</v>
      </c>
      <c r="AE276" t="s">
        <v>74</v>
      </c>
      <c r="AF276" t="s">
        <v>74</v>
      </c>
      <c r="AG276">
        <v>55</v>
      </c>
      <c r="AH276">
        <v>256</v>
      </c>
      <c r="AI276">
        <v>268</v>
      </c>
      <c r="AJ276">
        <v>0</v>
      </c>
      <c r="AK276">
        <v>17</v>
      </c>
      <c r="AL276" t="s">
        <v>1265</v>
      </c>
      <c r="AM276" t="s">
        <v>662</v>
      </c>
      <c r="AN276" t="s">
        <v>4728</v>
      </c>
      <c r="AO276" t="s">
        <v>74</v>
      </c>
      <c r="AP276" t="s">
        <v>74</v>
      </c>
      <c r="AQ276" t="s">
        <v>4729</v>
      </c>
      <c r="AR276" t="s">
        <v>74</v>
      </c>
      <c r="AS276" t="s">
        <v>74</v>
      </c>
      <c r="AT276" t="s">
        <v>74</v>
      </c>
      <c r="AU276">
        <v>2008</v>
      </c>
      <c r="AV276" t="s">
        <v>74</v>
      </c>
      <c r="AW276" t="s">
        <v>74</v>
      </c>
      <c r="AX276" t="s">
        <v>74</v>
      </c>
      <c r="AY276" t="s">
        <v>74</v>
      </c>
      <c r="AZ276" t="s">
        <v>74</v>
      </c>
      <c r="BA276" t="s">
        <v>74</v>
      </c>
      <c r="BB276">
        <v>157</v>
      </c>
      <c r="BC276">
        <v>185</v>
      </c>
      <c r="BD276" t="s">
        <v>74</v>
      </c>
      <c r="BE276" t="s">
        <v>4743</v>
      </c>
      <c r="BF276" t="str">
        <f>HYPERLINK("http://dx.doi.org/10.1007/978-0-387-49791-4_10","http://dx.doi.org/10.1007/978-0-387-49791-4_10")</f>
        <v>http://dx.doi.org/10.1007/978-0-387-49791-4_10</v>
      </c>
      <c r="BG276" t="s">
        <v>74</v>
      </c>
      <c r="BH276" t="s">
        <v>74</v>
      </c>
      <c r="BI276">
        <v>29</v>
      </c>
      <c r="BJ276" t="s">
        <v>204</v>
      </c>
      <c r="BK276" t="s">
        <v>842</v>
      </c>
      <c r="BL276" t="s">
        <v>204</v>
      </c>
      <c r="BM276" t="s">
        <v>4731</v>
      </c>
      <c r="BN276" t="s">
        <v>74</v>
      </c>
      <c r="BO276" t="s">
        <v>74</v>
      </c>
      <c r="BP276" t="s">
        <v>74</v>
      </c>
      <c r="BQ276" t="s">
        <v>74</v>
      </c>
      <c r="BR276" t="s">
        <v>100</v>
      </c>
      <c r="BS276" t="s">
        <v>4744</v>
      </c>
      <c r="BT276" t="str">
        <f>HYPERLINK("https%3A%2F%2Fwww.webofscience.com%2Fwos%2Fwoscc%2Ffull-record%2FWOS:000252233800010","View Full Record in Web of Science")</f>
        <v>View Full Record in Web of Science</v>
      </c>
    </row>
    <row r="277" spans="1:72" x14ac:dyDescent="0.15">
      <c r="A277" t="s">
        <v>72</v>
      </c>
      <c r="B277" t="s">
        <v>4745</v>
      </c>
      <c r="C277" t="s">
        <v>74</v>
      </c>
      <c r="D277" t="s">
        <v>74</v>
      </c>
      <c r="E277" t="s">
        <v>74</v>
      </c>
      <c r="F277" t="s">
        <v>4746</v>
      </c>
      <c r="G277" t="s">
        <v>74</v>
      </c>
      <c r="H277" t="s">
        <v>74</v>
      </c>
      <c r="I277" t="s">
        <v>4747</v>
      </c>
      <c r="J277" t="s">
        <v>4748</v>
      </c>
      <c r="K277" t="s">
        <v>74</v>
      </c>
      <c r="L277" t="s">
        <v>74</v>
      </c>
      <c r="M277" t="s">
        <v>78</v>
      </c>
      <c r="N277" t="s">
        <v>79</v>
      </c>
      <c r="O277" t="s">
        <v>74</v>
      </c>
      <c r="P277" t="s">
        <v>74</v>
      </c>
      <c r="Q277" t="s">
        <v>74</v>
      </c>
      <c r="R277" t="s">
        <v>74</v>
      </c>
      <c r="S277" t="s">
        <v>74</v>
      </c>
      <c r="T277" t="s">
        <v>4749</v>
      </c>
      <c r="U277" t="s">
        <v>4750</v>
      </c>
      <c r="V277" t="s">
        <v>4751</v>
      </c>
      <c r="W277" t="s">
        <v>74</v>
      </c>
      <c r="X277" t="s">
        <v>74</v>
      </c>
      <c r="Y277" t="s">
        <v>74</v>
      </c>
      <c r="Z277" t="s">
        <v>4752</v>
      </c>
      <c r="AA277" t="s">
        <v>4753</v>
      </c>
      <c r="AB277" t="s">
        <v>4754</v>
      </c>
      <c r="AC277" t="s">
        <v>74</v>
      </c>
      <c r="AD277" t="s">
        <v>74</v>
      </c>
      <c r="AE277" t="s">
        <v>74</v>
      </c>
      <c r="AF277" t="s">
        <v>74</v>
      </c>
      <c r="AG277">
        <v>72</v>
      </c>
      <c r="AH277">
        <v>26</v>
      </c>
      <c r="AI277">
        <v>30</v>
      </c>
      <c r="AJ277">
        <v>1</v>
      </c>
      <c r="AK277">
        <v>15</v>
      </c>
      <c r="AL277" t="s">
        <v>2518</v>
      </c>
      <c r="AM277" t="s">
        <v>1421</v>
      </c>
      <c r="AN277" t="s">
        <v>2519</v>
      </c>
      <c r="AO277" t="s">
        <v>4755</v>
      </c>
      <c r="AP277" t="s">
        <v>4756</v>
      </c>
      <c r="AQ277" t="s">
        <v>74</v>
      </c>
      <c r="AR277" t="s">
        <v>4757</v>
      </c>
      <c r="AS277" t="s">
        <v>4758</v>
      </c>
      <c r="AT277" t="s">
        <v>74</v>
      </c>
      <c r="AU277">
        <v>2008</v>
      </c>
      <c r="AV277">
        <v>24</v>
      </c>
      <c r="AW277">
        <v>4</v>
      </c>
      <c r="AX277" t="s">
        <v>74</v>
      </c>
      <c r="AY277" t="s">
        <v>74</v>
      </c>
      <c r="AZ277" t="s">
        <v>74</v>
      </c>
      <c r="BA277" t="s">
        <v>74</v>
      </c>
      <c r="BB277">
        <v>351</v>
      </c>
      <c r="BC277">
        <v>376</v>
      </c>
      <c r="BD277" t="s">
        <v>74</v>
      </c>
      <c r="BE277" t="s">
        <v>4759</v>
      </c>
      <c r="BF277" t="str">
        <f>HYPERLINK("http://dx.doi.org/10.1080/07341510802357419","http://dx.doi.org/10.1080/07341510802357419")</f>
        <v>http://dx.doi.org/10.1080/07341510802357419</v>
      </c>
      <c r="BG277" t="s">
        <v>74</v>
      </c>
      <c r="BH277" t="s">
        <v>74</v>
      </c>
      <c r="BI277">
        <v>26</v>
      </c>
      <c r="BJ277" t="s">
        <v>3206</v>
      </c>
      <c r="BK277" t="s">
        <v>3207</v>
      </c>
      <c r="BL277" t="s">
        <v>3206</v>
      </c>
      <c r="BM277" t="s">
        <v>4760</v>
      </c>
      <c r="BN277" t="s">
        <v>74</v>
      </c>
      <c r="BO277" t="s">
        <v>74</v>
      </c>
      <c r="BP277" t="s">
        <v>74</v>
      </c>
      <c r="BQ277" t="s">
        <v>74</v>
      </c>
      <c r="BR277" t="s">
        <v>100</v>
      </c>
      <c r="BS277" t="s">
        <v>4761</v>
      </c>
      <c r="BT277" t="str">
        <f>HYPERLINK("https%3A%2F%2Fwww.webofscience.com%2Fwos%2Fwoscc%2Ffull-record%2FWOS:000262498500004","View Full Record in Web of Science")</f>
        <v>View Full Record in Web of Science</v>
      </c>
    </row>
    <row r="278" spans="1:72" x14ac:dyDescent="0.15">
      <c r="A278" t="s">
        <v>72</v>
      </c>
      <c r="B278" t="s">
        <v>4762</v>
      </c>
      <c r="C278" t="s">
        <v>74</v>
      </c>
      <c r="D278" t="s">
        <v>74</v>
      </c>
      <c r="E278" t="s">
        <v>74</v>
      </c>
      <c r="F278" t="s">
        <v>4763</v>
      </c>
      <c r="G278" t="s">
        <v>74</v>
      </c>
      <c r="H278" t="s">
        <v>74</v>
      </c>
      <c r="I278" t="s">
        <v>4764</v>
      </c>
      <c r="J278" t="s">
        <v>4765</v>
      </c>
      <c r="K278" t="s">
        <v>74</v>
      </c>
      <c r="L278" t="s">
        <v>74</v>
      </c>
      <c r="M278" t="s">
        <v>78</v>
      </c>
      <c r="N278" t="s">
        <v>79</v>
      </c>
      <c r="O278" t="s">
        <v>74</v>
      </c>
      <c r="P278" t="s">
        <v>74</v>
      </c>
      <c r="Q278" t="s">
        <v>74</v>
      </c>
      <c r="R278" t="s">
        <v>74</v>
      </c>
      <c r="S278" t="s">
        <v>74</v>
      </c>
      <c r="T278" t="s">
        <v>4766</v>
      </c>
      <c r="U278" t="s">
        <v>4767</v>
      </c>
      <c r="V278" t="s">
        <v>4768</v>
      </c>
      <c r="W278" t="s">
        <v>4769</v>
      </c>
      <c r="X278" t="s">
        <v>4770</v>
      </c>
      <c r="Y278" t="s">
        <v>4771</v>
      </c>
      <c r="Z278" t="s">
        <v>4772</v>
      </c>
      <c r="AA278" t="s">
        <v>4773</v>
      </c>
      <c r="AB278" t="s">
        <v>74</v>
      </c>
      <c r="AC278" t="s">
        <v>74</v>
      </c>
      <c r="AD278" t="s">
        <v>74</v>
      </c>
      <c r="AE278" t="s">
        <v>74</v>
      </c>
      <c r="AF278" t="s">
        <v>74</v>
      </c>
      <c r="AG278">
        <v>76</v>
      </c>
      <c r="AH278">
        <v>317</v>
      </c>
      <c r="AI278">
        <v>380</v>
      </c>
      <c r="AJ278">
        <v>6</v>
      </c>
      <c r="AK278">
        <v>216</v>
      </c>
      <c r="AL278" t="s">
        <v>1265</v>
      </c>
      <c r="AM278" t="s">
        <v>1317</v>
      </c>
      <c r="AN278" t="s">
        <v>2701</v>
      </c>
      <c r="AO278" t="s">
        <v>4774</v>
      </c>
      <c r="AP278" t="s">
        <v>4775</v>
      </c>
      <c r="AQ278" t="s">
        <v>74</v>
      </c>
      <c r="AR278" t="s">
        <v>4765</v>
      </c>
      <c r="AS278" t="s">
        <v>4776</v>
      </c>
      <c r="AT278" t="s">
        <v>1490</v>
      </c>
      <c r="AU278">
        <v>2008</v>
      </c>
      <c r="AV278">
        <v>595</v>
      </c>
      <c r="AW278" t="s">
        <v>74</v>
      </c>
      <c r="AX278" t="s">
        <v>74</v>
      </c>
      <c r="AY278" t="s">
        <v>74</v>
      </c>
      <c r="AZ278" t="s">
        <v>74</v>
      </c>
      <c r="BA278" t="s">
        <v>74</v>
      </c>
      <c r="BB278">
        <v>9</v>
      </c>
      <c r="BC278">
        <v>26</v>
      </c>
      <c r="BD278" t="s">
        <v>74</v>
      </c>
      <c r="BE278" t="s">
        <v>4777</v>
      </c>
      <c r="BF278" t="str">
        <f>HYPERLINK("http://dx.doi.org/10.1007/s10750-007-9154-6","http://dx.doi.org/10.1007/s10750-007-9154-6")</f>
        <v>http://dx.doi.org/10.1007/s10750-007-9154-6</v>
      </c>
      <c r="BG278" t="s">
        <v>74</v>
      </c>
      <c r="BH278" t="s">
        <v>74</v>
      </c>
      <c r="BI278">
        <v>18</v>
      </c>
      <c r="BJ278" t="s">
        <v>2015</v>
      </c>
      <c r="BK278" t="s">
        <v>97</v>
      </c>
      <c r="BL278" t="s">
        <v>2015</v>
      </c>
      <c r="BM278" t="s">
        <v>4778</v>
      </c>
      <c r="BN278" t="s">
        <v>74</v>
      </c>
      <c r="BO278" t="s">
        <v>74</v>
      </c>
      <c r="BP278" t="s">
        <v>74</v>
      </c>
      <c r="BQ278" t="s">
        <v>74</v>
      </c>
      <c r="BR278" t="s">
        <v>100</v>
      </c>
      <c r="BS278" t="s">
        <v>4779</v>
      </c>
      <c r="BT278" t="str">
        <f>HYPERLINK("https%3A%2F%2Fwww.webofscience.com%2Fwos%2Fwoscc%2Ffull-record%2FWOS:000252253300003","View Full Record in Web of Science")</f>
        <v>View Full Record in Web of Science</v>
      </c>
    </row>
    <row r="279" spans="1:72" x14ac:dyDescent="0.15">
      <c r="A279" t="s">
        <v>72</v>
      </c>
      <c r="B279" t="s">
        <v>4780</v>
      </c>
      <c r="C279" t="s">
        <v>74</v>
      </c>
      <c r="D279" t="s">
        <v>74</v>
      </c>
      <c r="E279" t="s">
        <v>74</v>
      </c>
      <c r="F279" t="s">
        <v>4781</v>
      </c>
      <c r="G279" t="s">
        <v>74</v>
      </c>
      <c r="H279" t="s">
        <v>74</v>
      </c>
      <c r="I279" t="s">
        <v>4782</v>
      </c>
      <c r="J279" t="s">
        <v>4765</v>
      </c>
      <c r="K279" t="s">
        <v>74</v>
      </c>
      <c r="L279" t="s">
        <v>74</v>
      </c>
      <c r="M279" t="s">
        <v>78</v>
      </c>
      <c r="N279" t="s">
        <v>79</v>
      </c>
      <c r="O279" t="s">
        <v>74</v>
      </c>
      <c r="P279" t="s">
        <v>74</v>
      </c>
      <c r="Q279" t="s">
        <v>74</v>
      </c>
      <c r="R279" t="s">
        <v>74</v>
      </c>
      <c r="S279" t="s">
        <v>74</v>
      </c>
      <c r="T279" t="s">
        <v>4783</v>
      </c>
      <c r="U279" t="s">
        <v>4784</v>
      </c>
      <c r="V279" t="s">
        <v>4785</v>
      </c>
      <c r="W279" t="s">
        <v>4786</v>
      </c>
      <c r="X279" t="s">
        <v>4787</v>
      </c>
      <c r="Y279" t="s">
        <v>4788</v>
      </c>
      <c r="Z279" t="s">
        <v>4789</v>
      </c>
      <c r="AA279" t="s">
        <v>4790</v>
      </c>
      <c r="AB279" t="s">
        <v>4791</v>
      </c>
      <c r="AC279" t="s">
        <v>4792</v>
      </c>
      <c r="AD279" t="s">
        <v>444</v>
      </c>
      <c r="AE279" t="s">
        <v>74</v>
      </c>
      <c r="AF279" t="s">
        <v>74</v>
      </c>
      <c r="AG279">
        <v>18</v>
      </c>
      <c r="AH279">
        <v>13</v>
      </c>
      <c r="AI279">
        <v>21</v>
      </c>
      <c r="AJ279">
        <v>1</v>
      </c>
      <c r="AK279">
        <v>38</v>
      </c>
      <c r="AL279" t="s">
        <v>1265</v>
      </c>
      <c r="AM279" t="s">
        <v>1317</v>
      </c>
      <c r="AN279" t="s">
        <v>2701</v>
      </c>
      <c r="AO279" t="s">
        <v>4774</v>
      </c>
      <c r="AP279" t="s">
        <v>74</v>
      </c>
      <c r="AQ279" t="s">
        <v>74</v>
      </c>
      <c r="AR279" t="s">
        <v>4765</v>
      </c>
      <c r="AS279" t="s">
        <v>4776</v>
      </c>
      <c r="AT279" t="s">
        <v>1490</v>
      </c>
      <c r="AU279">
        <v>2008</v>
      </c>
      <c r="AV279">
        <v>595</v>
      </c>
      <c r="AW279" t="s">
        <v>74</v>
      </c>
      <c r="AX279" t="s">
        <v>74</v>
      </c>
      <c r="AY279" t="s">
        <v>74</v>
      </c>
      <c r="AZ279" t="s">
        <v>74</v>
      </c>
      <c r="BA279" t="s">
        <v>74</v>
      </c>
      <c r="BB279">
        <v>101</v>
      </c>
      <c r="BC279">
        <v>106</v>
      </c>
      <c r="BD279" t="s">
        <v>74</v>
      </c>
      <c r="BE279" t="s">
        <v>4793</v>
      </c>
      <c r="BF279" t="str">
        <f>HYPERLINK("http://dx.doi.org/10.1007/s10750-007-9123-0","http://dx.doi.org/10.1007/s10750-007-9123-0")</f>
        <v>http://dx.doi.org/10.1007/s10750-007-9123-0</v>
      </c>
      <c r="BG279" t="s">
        <v>74</v>
      </c>
      <c r="BH279" t="s">
        <v>74</v>
      </c>
      <c r="BI279">
        <v>6</v>
      </c>
      <c r="BJ279" t="s">
        <v>2015</v>
      </c>
      <c r="BK279" t="s">
        <v>97</v>
      </c>
      <c r="BL279" t="s">
        <v>2015</v>
      </c>
      <c r="BM279" t="s">
        <v>4778</v>
      </c>
      <c r="BN279" t="s">
        <v>74</v>
      </c>
      <c r="BO279" t="s">
        <v>74</v>
      </c>
      <c r="BP279" t="s">
        <v>74</v>
      </c>
      <c r="BQ279" t="s">
        <v>74</v>
      </c>
      <c r="BR279" t="s">
        <v>100</v>
      </c>
      <c r="BS279" t="s">
        <v>4794</v>
      </c>
      <c r="BT279" t="str">
        <f>HYPERLINK("https%3A%2F%2Fwww.webofscience.com%2Fwos%2Fwoscc%2Ffull-record%2FWOS:000252253300013","View Full Record in Web of Science")</f>
        <v>View Full Record in Web of Science</v>
      </c>
    </row>
    <row r="280" spans="1:72" x14ac:dyDescent="0.15">
      <c r="A280" t="s">
        <v>72</v>
      </c>
      <c r="B280" t="s">
        <v>4795</v>
      </c>
      <c r="C280" t="s">
        <v>74</v>
      </c>
      <c r="D280" t="s">
        <v>74</v>
      </c>
      <c r="E280" t="s">
        <v>74</v>
      </c>
      <c r="F280" t="s">
        <v>4796</v>
      </c>
      <c r="G280" t="s">
        <v>74</v>
      </c>
      <c r="H280" t="s">
        <v>74</v>
      </c>
      <c r="I280" t="s">
        <v>4797</v>
      </c>
      <c r="J280" t="s">
        <v>4765</v>
      </c>
      <c r="K280" t="s">
        <v>74</v>
      </c>
      <c r="L280" t="s">
        <v>74</v>
      </c>
      <c r="M280" t="s">
        <v>78</v>
      </c>
      <c r="N280" t="s">
        <v>79</v>
      </c>
      <c r="O280" t="s">
        <v>74</v>
      </c>
      <c r="P280" t="s">
        <v>74</v>
      </c>
      <c r="Q280" t="s">
        <v>74</v>
      </c>
      <c r="R280" t="s">
        <v>74</v>
      </c>
      <c r="S280" t="s">
        <v>74</v>
      </c>
      <c r="T280" t="s">
        <v>4798</v>
      </c>
      <c r="U280" t="s">
        <v>4799</v>
      </c>
      <c r="V280" t="s">
        <v>4800</v>
      </c>
      <c r="W280" t="s">
        <v>4801</v>
      </c>
      <c r="X280" t="s">
        <v>4802</v>
      </c>
      <c r="Y280" t="s">
        <v>4803</v>
      </c>
      <c r="Z280" t="s">
        <v>4804</v>
      </c>
      <c r="AA280" t="s">
        <v>4805</v>
      </c>
      <c r="AB280" t="s">
        <v>4806</v>
      </c>
      <c r="AC280" t="s">
        <v>74</v>
      </c>
      <c r="AD280" t="s">
        <v>74</v>
      </c>
      <c r="AE280" t="s">
        <v>74</v>
      </c>
      <c r="AF280" t="s">
        <v>74</v>
      </c>
      <c r="AG280">
        <v>18</v>
      </c>
      <c r="AH280">
        <v>212</v>
      </c>
      <c r="AI280">
        <v>266</v>
      </c>
      <c r="AJ280">
        <v>1</v>
      </c>
      <c r="AK280">
        <v>59</v>
      </c>
      <c r="AL280" t="s">
        <v>1265</v>
      </c>
      <c r="AM280" t="s">
        <v>1317</v>
      </c>
      <c r="AN280" t="s">
        <v>2701</v>
      </c>
      <c r="AO280" t="s">
        <v>4774</v>
      </c>
      <c r="AP280" t="s">
        <v>74</v>
      </c>
      <c r="AQ280" t="s">
        <v>74</v>
      </c>
      <c r="AR280" t="s">
        <v>4765</v>
      </c>
      <c r="AS280" t="s">
        <v>4776</v>
      </c>
      <c r="AT280" t="s">
        <v>1490</v>
      </c>
      <c r="AU280">
        <v>2008</v>
      </c>
      <c r="AV280">
        <v>595</v>
      </c>
      <c r="AW280" t="s">
        <v>74</v>
      </c>
      <c r="AX280" t="s">
        <v>74</v>
      </c>
      <c r="AY280" t="s">
        <v>74</v>
      </c>
      <c r="AZ280" t="s">
        <v>74</v>
      </c>
      <c r="BA280" t="s">
        <v>74</v>
      </c>
      <c r="BB280">
        <v>295</v>
      </c>
      <c r="BC280">
        <v>301</v>
      </c>
      <c r="BD280" t="s">
        <v>74</v>
      </c>
      <c r="BE280" t="s">
        <v>4807</v>
      </c>
      <c r="BF280" t="str">
        <f>HYPERLINK("http://dx.doi.org/10.1007/s10750-007-9120-3","http://dx.doi.org/10.1007/s10750-007-9120-3")</f>
        <v>http://dx.doi.org/10.1007/s10750-007-9120-3</v>
      </c>
      <c r="BG280" t="s">
        <v>74</v>
      </c>
      <c r="BH280" t="s">
        <v>74</v>
      </c>
      <c r="BI280">
        <v>7</v>
      </c>
      <c r="BJ280" t="s">
        <v>2015</v>
      </c>
      <c r="BK280" t="s">
        <v>97</v>
      </c>
      <c r="BL280" t="s">
        <v>2015</v>
      </c>
      <c r="BM280" t="s">
        <v>4778</v>
      </c>
      <c r="BN280" t="s">
        <v>74</v>
      </c>
      <c r="BO280" t="s">
        <v>74</v>
      </c>
      <c r="BP280" t="s">
        <v>74</v>
      </c>
      <c r="BQ280" t="s">
        <v>74</v>
      </c>
      <c r="BR280" t="s">
        <v>100</v>
      </c>
      <c r="BS280" t="s">
        <v>4808</v>
      </c>
      <c r="BT280" t="str">
        <f>HYPERLINK("https%3A%2F%2Fwww.webofscience.com%2Fwos%2Fwoscc%2Ffull-record%2FWOS:000252253300033","View Full Record in Web of Science")</f>
        <v>View Full Record in Web of Science</v>
      </c>
    </row>
    <row r="281" spans="1:72" x14ac:dyDescent="0.15">
      <c r="A281" t="s">
        <v>72</v>
      </c>
      <c r="B281" t="s">
        <v>4809</v>
      </c>
      <c r="C281" t="s">
        <v>74</v>
      </c>
      <c r="D281" t="s">
        <v>74</v>
      </c>
      <c r="E281" t="s">
        <v>74</v>
      </c>
      <c r="F281" t="s">
        <v>4810</v>
      </c>
      <c r="G281" t="s">
        <v>74</v>
      </c>
      <c r="H281" t="s">
        <v>74</v>
      </c>
      <c r="I281" t="s">
        <v>4811</v>
      </c>
      <c r="J281" t="s">
        <v>4812</v>
      </c>
      <c r="K281" t="s">
        <v>74</v>
      </c>
      <c r="L281" t="s">
        <v>74</v>
      </c>
      <c r="M281" t="s">
        <v>78</v>
      </c>
      <c r="N281" t="s">
        <v>79</v>
      </c>
      <c r="O281" t="s">
        <v>74</v>
      </c>
      <c r="P281" t="s">
        <v>74</v>
      </c>
      <c r="Q281" t="s">
        <v>74</v>
      </c>
      <c r="R281" t="s">
        <v>74</v>
      </c>
      <c r="S281" t="s">
        <v>74</v>
      </c>
      <c r="T281" t="s">
        <v>4813</v>
      </c>
      <c r="U281" t="s">
        <v>4814</v>
      </c>
      <c r="V281" t="s">
        <v>4815</v>
      </c>
      <c r="W281" t="s">
        <v>4816</v>
      </c>
      <c r="X281" t="s">
        <v>4817</v>
      </c>
      <c r="Y281" t="s">
        <v>4818</v>
      </c>
      <c r="Z281" t="s">
        <v>4819</v>
      </c>
      <c r="AA281" t="s">
        <v>4820</v>
      </c>
      <c r="AB281" t="s">
        <v>74</v>
      </c>
      <c r="AC281" t="s">
        <v>74</v>
      </c>
      <c r="AD281" t="s">
        <v>74</v>
      </c>
      <c r="AE281" t="s">
        <v>74</v>
      </c>
      <c r="AF281" t="s">
        <v>74</v>
      </c>
      <c r="AG281">
        <v>41</v>
      </c>
      <c r="AH281">
        <v>2</v>
      </c>
      <c r="AI281">
        <v>4</v>
      </c>
      <c r="AJ281">
        <v>0</v>
      </c>
      <c r="AK281">
        <v>24</v>
      </c>
      <c r="AL281" t="s">
        <v>1219</v>
      </c>
      <c r="AM281" t="s">
        <v>89</v>
      </c>
      <c r="AN281" t="s">
        <v>90</v>
      </c>
      <c r="AO281" t="s">
        <v>4821</v>
      </c>
      <c r="AP281" t="s">
        <v>4822</v>
      </c>
      <c r="AQ281" t="s">
        <v>74</v>
      </c>
      <c r="AR281" t="s">
        <v>4812</v>
      </c>
      <c r="AS281" t="s">
        <v>4823</v>
      </c>
      <c r="AT281" t="s">
        <v>1490</v>
      </c>
      <c r="AU281">
        <v>2008</v>
      </c>
      <c r="AV281">
        <v>150</v>
      </c>
      <c r="AW281">
        <v>1</v>
      </c>
      <c r="AX281" t="s">
        <v>74</v>
      </c>
      <c r="AY281" t="s">
        <v>74</v>
      </c>
      <c r="AZ281" t="s">
        <v>74</v>
      </c>
      <c r="BA281" t="s">
        <v>74</v>
      </c>
      <c r="BB281">
        <v>160</v>
      </c>
      <c r="BC281">
        <v>171</v>
      </c>
      <c r="BD281" t="s">
        <v>74</v>
      </c>
      <c r="BE281" t="s">
        <v>74</v>
      </c>
      <c r="BF281" t="s">
        <v>74</v>
      </c>
      <c r="BG281" t="s">
        <v>74</v>
      </c>
      <c r="BH281" t="s">
        <v>74</v>
      </c>
      <c r="BI281">
        <v>12</v>
      </c>
      <c r="BJ281" t="s">
        <v>4824</v>
      </c>
      <c r="BK281" t="s">
        <v>97</v>
      </c>
      <c r="BL281" t="s">
        <v>4825</v>
      </c>
      <c r="BM281" t="s">
        <v>4826</v>
      </c>
      <c r="BN281" t="s">
        <v>74</v>
      </c>
      <c r="BO281" t="s">
        <v>74</v>
      </c>
      <c r="BP281" t="s">
        <v>74</v>
      </c>
      <c r="BQ281" t="s">
        <v>74</v>
      </c>
      <c r="BR281" t="s">
        <v>100</v>
      </c>
      <c r="BS281" t="s">
        <v>4827</v>
      </c>
      <c r="BT281" t="str">
        <f>HYPERLINK("https%3A%2F%2Fwww.webofscience.com%2Fwos%2Fwoscc%2Ffull-record%2FWOS:000252207300017","View Full Record in Web of Science")</f>
        <v>View Full Record in Web of Science</v>
      </c>
    </row>
    <row r="282" spans="1:72" x14ac:dyDescent="0.15">
      <c r="A282" t="s">
        <v>72</v>
      </c>
      <c r="B282" t="s">
        <v>4828</v>
      </c>
      <c r="C282" t="s">
        <v>74</v>
      </c>
      <c r="D282" t="s">
        <v>74</v>
      </c>
      <c r="E282" t="s">
        <v>74</v>
      </c>
      <c r="F282" t="s">
        <v>4829</v>
      </c>
      <c r="G282" t="s">
        <v>74</v>
      </c>
      <c r="H282" t="s">
        <v>74</v>
      </c>
      <c r="I282" t="s">
        <v>4830</v>
      </c>
      <c r="J282" t="s">
        <v>4831</v>
      </c>
      <c r="K282" t="s">
        <v>74</v>
      </c>
      <c r="L282" t="s">
        <v>74</v>
      </c>
      <c r="M282" t="s">
        <v>78</v>
      </c>
      <c r="N282" t="s">
        <v>106</v>
      </c>
      <c r="O282" t="s">
        <v>74</v>
      </c>
      <c r="P282" t="s">
        <v>74</v>
      </c>
      <c r="Q282" t="s">
        <v>74</v>
      </c>
      <c r="R282" t="s">
        <v>74</v>
      </c>
      <c r="S282" t="s">
        <v>74</v>
      </c>
      <c r="T282" t="s">
        <v>4832</v>
      </c>
      <c r="U282" t="s">
        <v>4833</v>
      </c>
      <c r="V282" t="s">
        <v>4834</v>
      </c>
      <c r="W282" t="s">
        <v>4835</v>
      </c>
      <c r="X282" t="s">
        <v>4836</v>
      </c>
      <c r="Y282" t="s">
        <v>4837</v>
      </c>
      <c r="Z282" t="s">
        <v>4838</v>
      </c>
      <c r="AA282" t="s">
        <v>4839</v>
      </c>
      <c r="AB282" t="s">
        <v>4840</v>
      </c>
      <c r="AC282" t="s">
        <v>74</v>
      </c>
      <c r="AD282" t="s">
        <v>74</v>
      </c>
      <c r="AE282" t="s">
        <v>74</v>
      </c>
      <c r="AF282" t="s">
        <v>74</v>
      </c>
      <c r="AG282">
        <v>103</v>
      </c>
      <c r="AH282">
        <v>108</v>
      </c>
      <c r="AI282">
        <v>119</v>
      </c>
      <c r="AJ282">
        <v>3</v>
      </c>
      <c r="AK282">
        <v>29</v>
      </c>
      <c r="AL282" t="s">
        <v>4841</v>
      </c>
      <c r="AM282" t="s">
        <v>4842</v>
      </c>
      <c r="AN282" t="s">
        <v>4843</v>
      </c>
      <c r="AO282" t="s">
        <v>4844</v>
      </c>
      <c r="AP282" t="s">
        <v>4845</v>
      </c>
      <c r="AQ282" t="s">
        <v>74</v>
      </c>
      <c r="AR282" t="s">
        <v>4846</v>
      </c>
      <c r="AS282" t="s">
        <v>4847</v>
      </c>
      <c r="AT282" t="s">
        <v>1490</v>
      </c>
      <c r="AU282">
        <v>2008</v>
      </c>
      <c r="AV282">
        <v>46</v>
      </c>
      <c r="AW282">
        <v>1</v>
      </c>
      <c r="AX282" t="s">
        <v>74</v>
      </c>
      <c r="AY282" t="s">
        <v>74</v>
      </c>
      <c r="AZ282" t="s">
        <v>74</v>
      </c>
      <c r="BA282" t="s">
        <v>74</v>
      </c>
      <c r="BB282">
        <v>7</v>
      </c>
      <c r="BC282">
        <v>17</v>
      </c>
      <c r="BD282" t="s">
        <v>74</v>
      </c>
      <c r="BE282" t="s">
        <v>74</v>
      </c>
      <c r="BF282" t="s">
        <v>74</v>
      </c>
      <c r="BG282" t="s">
        <v>74</v>
      </c>
      <c r="BH282" t="s">
        <v>74</v>
      </c>
      <c r="BI282">
        <v>11</v>
      </c>
      <c r="BJ282" t="s">
        <v>4848</v>
      </c>
      <c r="BK282" t="s">
        <v>97</v>
      </c>
      <c r="BL282" t="s">
        <v>4849</v>
      </c>
      <c r="BM282" t="s">
        <v>4850</v>
      </c>
      <c r="BN282">
        <v>18697565</v>
      </c>
      <c r="BO282" t="s">
        <v>74</v>
      </c>
      <c r="BP282" t="s">
        <v>74</v>
      </c>
      <c r="BQ282" t="s">
        <v>74</v>
      </c>
      <c r="BR282" t="s">
        <v>100</v>
      </c>
      <c r="BS282" t="s">
        <v>4851</v>
      </c>
      <c r="BT282" t="str">
        <f>HYPERLINK("https%3A%2F%2Fwww.webofscience.com%2Fwos%2Fwoscc%2Ffull-record%2FWOS:000252290200002","View Full Record in Web of Science")</f>
        <v>View Full Record in Web of Science</v>
      </c>
    </row>
    <row r="283" spans="1:72" x14ac:dyDescent="0.15">
      <c r="A283" t="s">
        <v>816</v>
      </c>
      <c r="B283" t="s">
        <v>4852</v>
      </c>
      <c r="C283" t="s">
        <v>74</v>
      </c>
      <c r="D283" t="s">
        <v>4853</v>
      </c>
      <c r="E283" t="s">
        <v>74</v>
      </c>
      <c r="F283" t="s">
        <v>4854</v>
      </c>
      <c r="G283" t="s">
        <v>74</v>
      </c>
      <c r="H283" t="s">
        <v>74</v>
      </c>
      <c r="I283" t="s">
        <v>4855</v>
      </c>
      <c r="J283" t="s">
        <v>4856</v>
      </c>
      <c r="K283" t="s">
        <v>1344</v>
      </c>
      <c r="L283" t="s">
        <v>74</v>
      </c>
      <c r="M283" t="s">
        <v>78</v>
      </c>
      <c r="N283" t="s">
        <v>823</v>
      </c>
      <c r="O283" t="s">
        <v>4857</v>
      </c>
      <c r="P283" t="s">
        <v>4858</v>
      </c>
      <c r="Q283" t="s">
        <v>3930</v>
      </c>
      <c r="R283" t="s">
        <v>74</v>
      </c>
      <c r="S283" t="s">
        <v>74</v>
      </c>
      <c r="T283" t="s">
        <v>4859</v>
      </c>
      <c r="U283" t="s">
        <v>4860</v>
      </c>
      <c r="V283" t="s">
        <v>4861</v>
      </c>
      <c r="W283" t="s">
        <v>4862</v>
      </c>
      <c r="X283" t="s">
        <v>4863</v>
      </c>
      <c r="Y283" t="s">
        <v>4864</v>
      </c>
      <c r="Z283" t="s">
        <v>74</v>
      </c>
      <c r="AA283" t="s">
        <v>74</v>
      </c>
      <c r="AB283" t="s">
        <v>4865</v>
      </c>
      <c r="AC283" t="s">
        <v>4866</v>
      </c>
      <c r="AD283" t="s">
        <v>4867</v>
      </c>
      <c r="AE283" t="s">
        <v>4868</v>
      </c>
      <c r="AF283" t="s">
        <v>74</v>
      </c>
      <c r="AG283">
        <v>15</v>
      </c>
      <c r="AH283">
        <v>2</v>
      </c>
      <c r="AI283">
        <v>2</v>
      </c>
      <c r="AJ283">
        <v>1</v>
      </c>
      <c r="AK283">
        <v>18</v>
      </c>
      <c r="AL283" t="s">
        <v>1354</v>
      </c>
      <c r="AM283" t="s">
        <v>1355</v>
      </c>
      <c r="AN283" t="s">
        <v>1356</v>
      </c>
      <c r="AO283" t="s">
        <v>1357</v>
      </c>
      <c r="AP283" t="s">
        <v>1358</v>
      </c>
      <c r="AQ283" t="s">
        <v>4869</v>
      </c>
      <c r="AR283" t="s">
        <v>1360</v>
      </c>
      <c r="AS283" t="s">
        <v>74</v>
      </c>
      <c r="AT283" t="s">
        <v>74</v>
      </c>
      <c r="AU283">
        <v>2008</v>
      </c>
      <c r="AV283">
        <v>7097</v>
      </c>
      <c r="AW283" t="s">
        <v>74</v>
      </c>
      <c r="AX283" t="s">
        <v>74</v>
      </c>
      <c r="AY283" t="s">
        <v>74</v>
      </c>
      <c r="AZ283" t="s">
        <v>74</v>
      </c>
      <c r="BA283" t="s">
        <v>74</v>
      </c>
      <c r="BB283" t="s">
        <v>74</v>
      </c>
      <c r="BC283" t="s">
        <v>74</v>
      </c>
      <c r="BD283" t="s">
        <v>4870</v>
      </c>
      <c r="BE283" t="s">
        <v>4871</v>
      </c>
      <c r="BF283" t="str">
        <f>HYPERLINK("http://dx.doi.org/10.1117/12.801018","http://dx.doi.org/10.1117/12.801018")</f>
        <v>http://dx.doi.org/10.1117/12.801018</v>
      </c>
      <c r="BG283" t="s">
        <v>74</v>
      </c>
      <c r="BH283" t="s">
        <v>74</v>
      </c>
      <c r="BI283">
        <v>9</v>
      </c>
      <c r="BJ283" t="s">
        <v>4561</v>
      </c>
      <c r="BK283" t="s">
        <v>842</v>
      </c>
      <c r="BL283" t="s">
        <v>4561</v>
      </c>
      <c r="BM283" t="s">
        <v>4872</v>
      </c>
      <c r="BN283" t="s">
        <v>74</v>
      </c>
      <c r="BO283" t="s">
        <v>74</v>
      </c>
      <c r="BP283" t="s">
        <v>74</v>
      </c>
      <c r="BQ283" t="s">
        <v>74</v>
      </c>
      <c r="BR283" t="s">
        <v>100</v>
      </c>
      <c r="BS283" t="s">
        <v>4873</v>
      </c>
      <c r="BT283" t="str">
        <f>HYPERLINK("https%3A%2F%2Fwww.webofscience.com%2Fwos%2Fwoscc%2Ffull-record%2FWOS:000262473900015","View Full Record in Web of Science")</f>
        <v>View Full Record in Web of Science</v>
      </c>
    </row>
    <row r="284" spans="1:72" x14ac:dyDescent="0.15">
      <c r="A284" t="s">
        <v>816</v>
      </c>
      <c r="B284" t="s">
        <v>4874</v>
      </c>
      <c r="C284" t="s">
        <v>74</v>
      </c>
      <c r="D284" t="s">
        <v>4853</v>
      </c>
      <c r="E284" t="s">
        <v>74</v>
      </c>
      <c r="F284" t="s">
        <v>4875</v>
      </c>
      <c r="G284" t="s">
        <v>74</v>
      </c>
      <c r="H284" t="s">
        <v>74</v>
      </c>
      <c r="I284" t="s">
        <v>4876</v>
      </c>
      <c r="J284" t="s">
        <v>4856</v>
      </c>
      <c r="K284" t="s">
        <v>1344</v>
      </c>
      <c r="L284" t="s">
        <v>74</v>
      </c>
      <c r="M284" t="s">
        <v>78</v>
      </c>
      <c r="N284" t="s">
        <v>823</v>
      </c>
      <c r="O284" t="s">
        <v>4857</v>
      </c>
      <c r="P284" t="s">
        <v>4858</v>
      </c>
      <c r="Q284" t="s">
        <v>3930</v>
      </c>
      <c r="R284" t="s">
        <v>74</v>
      </c>
      <c r="S284" t="s">
        <v>74</v>
      </c>
      <c r="T284" t="s">
        <v>74</v>
      </c>
      <c r="U284" t="s">
        <v>4877</v>
      </c>
      <c r="V284" t="s">
        <v>4878</v>
      </c>
      <c r="W284" t="s">
        <v>4879</v>
      </c>
      <c r="X284" t="s">
        <v>4880</v>
      </c>
      <c r="Y284" t="s">
        <v>4881</v>
      </c>
      <c r="Z284" t="s">
        <v>4882</v>
      </c>
      <c r="AA284" t="s">
        <v>74</v>
      </c>
      <c r="AB284" t="s">
        <v>4883</v>
      </c>
      <c r="AC284" t="s">
        <v>4884</v>
      </c>
      <c r="AD284" t="s">
        <v>4884</v>
      </c>
      <c r="AE284" t="s">
        <v>4885</v>
      </c>
      <c r="AF284" t="s">
        <v>74</v>
      </c>
      <c r="AG284">
        <v>23</v>
      </c>
      <c r="AH284">
        <v>0</v>
      </c>
      <c r="AI284">
        <v>0</v>
      </c>
      <c r="AJ284">
        <v>0</v>
      </c>
      <c r="AK284">
        <v>6</v>
      </c>
      <c r="AL284" t="s">
        <v>1354</v>
      </c>
      <c r="AM284" t="s">
        <v>1355</v>
      </c>
      <c r="AN284" t="s">
        <v>1356</v>
      </c>
      <c r="AO284" t="s">
        <v>1357</v>
      </c>
      <c r="AP284" t="s">
        <v>1358</v>
      </c>
      <c r="AQ284" t="s">
        <v>4869</v>
      </c>
      <c r="AR284" t="s">
        <v>1360</v>
      </c>
      <c r="AS284" t="s">
        <v>74</v>
      </c>
      <c r="AT284" t="s">
        <v>74</v>
      </c>
      <c r="AU284">
        <v>2008</v>
      </c>
      <c r="AV284">
        <v>7097</v>
      </c>
      <c r="AW284" t="s">
        <v>74</v>
      </c>
      <c r="AX284" t="s">
        <v>74</v>
      </c>
      <c r="AY284" t="s">
        <v>74</v>
      </c>
      <c r="AZ284" t="s">
        <v>74</v>
      </c>
      <c r="BA284" t="s">
        <v>74</v>
      </c>
      <c r="BB284" t="s">
        <v>74</v>
      </c>
      <c r="BC284" t="s">
        <v>74</v>
      </c>
      <c r="BD284" t="s">
        <v>4886</v>
      </c>
      <c r="BE284" t="s">
        <v>4887</v>
      </c>
      <c r="BF284" t="str">
        <f>HYPERLINK("http://dx.doi.org/10.1117/12.795394","http://dx.doi.org/10.1117/12.795394")</f>
        <v>http://dx.doi.org/10.1117/12.795394</v>
      </c>
      <c r="BG284" t="s">
        <v>74</v>
      </c>
      <c r="BH284" t="s">
        <v>74</v>
      </c>
      <c r="BI284">
        <v>11</v>
      </c>
      <c r="BJ284" t="s">
        <v>4561</v>
      </c>
      <c r="BK284" t="s">
        <v>842</v>
      </c>
      <c r="BL284" t="s">
        <v>4561</v>
      </c>
      <c r="BM284" t="s">
        <v>4872</v>
      </c>
      <c r="BN284" t="s">
        <v>74</v>
      </c>
      <c r="BO284" t="s">
        <v>74</v>
      </c>
      <c r="BP284" t="s">
        <v>74</v>
      </c>
      <c r="BQ284" t="s">
        <v>74</v>
      </c>
      <c r="BR284" t="s">
        <v>100</v>
      </c>
      <c r="BS284" t="s">
        <v>4888</v>
      </c>
      <c r="BT284" t="str">
        <f>HYPERLINK("https%3A%2F%2Fwww.webofscience.com%2Fwos%2Fwoscc%2Ffull-record%2FWOS:000262473900014","View Full Record in Web of Science")</f>
        <v>View Full Record in Web of Science</v>
      </c>
    </row>
    <row r="285" spans="1:72" x14ac:dyDescent="0.15">
      <c r="A285" t="s">
        <v>816</v>
      </c>
      <c r="B285" t="s">
        <v>4889</v>
      </c>
      <c r="C285" t="s">
        <v>74</v>
      </c>
      <c r="D285" t="s">
        <v>4853</v>
      </c>
      <c r="E285" t="s">
        <v>74</v>
      </c>
      <c r="F285" t="s">
        <v>4890</v>
      </c>
      <c r="G285" t="s">
        <v>74</v>
      </c>
      <c r="H285" t="s">
        <v>74</v>
      </c>
      <c r="I285" t="s">
        <v>4891</v>
      </c>
      <c r="J285" t="s">
        <v>4892</v>
      </c>
      <c r="K285" t="s">
        <v>1372</v>
      </c>
      <c r="L285" t="s">
        <v>74</v>
      </c>
      <c r="M285" t="s">
        <v>78</v>
      </c>
      <c r="N285" t="s">
        <v>823</v>
      </c>
      <c r="O285" t="s">
        <v>4857</v>
      </c>
      <c r="P285" t="s">
        <v>4858</v>
      </c>
      <c r="Q285" t="s">
        <v>3930</v>
      </c>
      <c r="R285" t="s">
        <v>74</v>
      </c>
      <c r="S285" t="s">
        <v>74</v>
      </c>
      <c r="T285" t="s">
        <v>4893</v>
      </c>
      <c r="U285" t="s">
        <v>74</v>
      </c>
      <c r="V285" t="s">
        <v>4894</v>
      </c>
      <c r="W285" t="s">
        <v>4895</v>
      </c>
      <c r="X285" t="s">
        <v>4896</v>
      </c>
      <c r="Y285" t="s">
        <v>4897</v>
      </c>
      <c r="Z285" t="s">
        <v>4898</v>
      </c>
      <c r="AA285" t="s">
        <v>74</v>
      </c>
      <c r="AB285" t="s">
        <v>74</v>
      </c>
      <c r="AC285" t="s">
        <v>74</v>
      </c>
      <c r="AD285" t="s">
        <v>74</v>
      </c>
      <c r="AE285" t="s">
        <v>74</v>
      </c>
      <c r="AF285" t="s">
        <v>74</v>
      </c>
      <c r="AG285">
        <v>2</v>
      </c>
      <c r="AH285">
        <v>0</v>
      </c>
      <c r="AI285">
        <v>0</v>
      </c>
      <c r="AJ285">
        <v>0</v>
      </c>
      <c r="AK285">
        <v>1</v>
      </c>
      <c r="AL285" t="s">
        <v>1354</v>
      </c>
      <c r="AM285" t="s">
        <v>1355</v>
      </c>
      <c r="AN285" t="s">
        <v>1356</v>
      </c>
      <c r="AO285" t="s">
        <v>1357</v>
      </c>
      <c r="AP285" t="s">
        <v>74</v>
      </c>
      <c r="AQ285" t="s">
        <v>4869</v>
      </c>
      <c r="AR285" t="s">
        <v>1382</v>
      </c>
      <c r="AS285" t="s">
        <v>74</v>
      </c>
      <c r="AT285" t="s">
        <v>74</v>
      </c>
      <c r="AU285">
        <v>2008</v>
      </c>
      <c r="AV285">
        <v>7097</v>
      </c>
      <c r="AW285" t="s">
        <v>74</v>
      </c>
      <c r="AX285" t="s">
        <v>74</v>
      </c>
      <c r="AY285" t="s">
        <v>74</v>
      </c>
      <c r="AZ285" t="s">
        <v>74</v>
      </c>
      <c r="BA285" t="s">
        <v>74</v>
      </c>
      <c r="BB285" t="s">
        <v>74</v>
      </c>
      <c r="BC285" t="s">
        <v>74</v>
      </c>
      <c r="BD285" t="s">
        <v>4899</v>
      </c>
      <c r="BE285" t="s">
        <v>4900</v>
      </c>
      <c r="BF285" t="str">
        <f>HYPERLINK("http://dx.doi.org/10.1117/12.806579","http://dx.doi.org/10.1117/12.806579")</f>
        <v>http://dx.doi.org/10.1117/12.806579</v>
      </c>
      <c r="BG285" t="s">
        <v>74</v>
      </c>
      <c r="BH285" t="s">
        <v>74</v>
      </c>
      <c r="BI285">
        <v>7</v>
      </c>
      <c r="BJ285" t="s">
        <v>4561</v>
      </c>
      <c r="BK285" t="s">
        <v>842</v>
      </c>
      <c r="BL285" t="s">
        <v>4561</v>
      </c>
      <c r="BM285" t="s">
        <v>4872</v>
      </c>
      <c r="BN285" t="s">
        <v>74</v>
      </c>
      <c r="BO285" t="s">
        <v>74</v>
      </c>
      <c r="BP285" t="s">
        <v>74</v>
      </c>
      <c r="BQ285" t="s">
        <v>74</v>
      </c>
      <c r="BR285" t="s">
        <v>100</v>
      </c>
      <c r="BS285" t="s">
        <v>4901</v>
      </c>
      <c r="BT285" t="str">
        <f>HYPERLINK("https%3A%2F%2Fwww.webofscience.com%2Fwos%2Fwoscc%2Ffull-record%2FWOS:000262473900027","View Full Record in Web of Science")</f>
        <v>View Full Record in Web of Science</v>
      </c>
    </row>
    <row r="286" spans="1:72" x14ac:dyDescent="0.15">
      <c r="A286" t="s">
        <v>72</v>
      </c>
      <c r="B286" t="s">
        <v>4902</v>
      </c>
      <c r="C286" t="s">
        <v>74</v>
      </c>
      <c r="D286" t="s">
        <v>74</v>
      </c>
      <c r="E286" t="s">
        <v>74</v>
      </c>
      <c r="F286" t="s">
        <v>4903</v>
      </c>
      <c r="G286" t="s">
        <v>74</v>
      </c>
      <c r="H286" t="s">
        <v>74</v>
      </c>
      <c r="I286" t="s">
        <v>4904</v>
      </c>
      <c r="J286" t="s">
        <v>4905</v>
      </c>
      <c r="K286" t="s">
        <v>74</v>
      </c>
      <c r="L286" t="s">
        <v>74</v>
      </c>
      <c r="M286" t="s">
        <v>78</v>
      </c>
      <c r="N286" t="s">
        <v>52</v>
      </c>
      <c r="O286" t="s">
        <v>74</v>
      </c>
      <c r="P286" t="s">
        <v>74</v>
      </c>
      <c r="Q286" t="s">
        <v>74</v>
      </c>
      <c r="R286" t="s">
        <v>74</v>
      </c>
      <c r="S286" t="s">
        <v>74</v>
      </c>
      <c r="T286" t="s">
        <v>74</v>
      </c>
      <c r="U286" t="s">
        <v>74</v>
      </c>
      <c r="V286" t="s">
        <v>74</v>
      </c>
      <c r="W286" t="s">
        <v>4906</v>
      </c>
      <c r="X286" t="s">
        <v>4907</v>
      </c>
      <c r="Y286" t="s">
        <v>74</v>
      </c>
      <c r="Z286" t="s">
        <v>4908</v>
      </c>
      <c r="AA286" t="s">
        <v>4909</v>
      </c>
      <c r="AB286" t="s">
        <v>4910</v>
      </c>
      <c r="AC286" t="s">
        <v>74</v>
      </c>
      <c r="AD286" t="s">
        <v>74</v>
      </c>
      <c r="AE286" t="s">
        <v>74</v>
      </c>
      <c r="AF286" t="s">
        <v>74</v>
      </c>
      <c r="AG286">
        <v>0</v>
      </c>
      <c r="AH286">
        <v>0</v>
      </c>
      <c r="AI286">
        <v>0</v>
      </c>
      <c r="AJ286">
        <v>1</v>
      </c>
      <c r="AK286">
        <v>31</v>
      </c>
      <c r="AL286" t="s">
        <v>2556</v>
      </c>
      <c r="AM286" t="s">
        <v>662</v>
      </c>
      <c r="AN286" t="s">
        <v>4911</v>
      </c>
      <c r="AO286" t="s">
        <v>4912</v>
      </c>
      <c r="AP286" t="s">
        <v>74</v>
      </c>
      <c r="AQ286" t="s">
        <v>74</v>
      </c>
      <c r="AR286" t="s">
        <v>4913</v>
      </c>
      <c r="AS286" t="s">
        <v>4914</v>
      </c>
      <c r="AT286" t="s">
        <v>1490</v>
      </c>
      <c r="AU286">
        <v>2008</v>
      </c>
      <c r="AV286">
        <v>7</v>
      </c>
      <c r="AW286">
        <v>1</v>
      </c>
      <c r="AX286" t="s">
        <v>74</v>
      </c>
      <c r="AY286" t="s">
        <v>74</v>
      </c>
      <c r="AZ286" t="s">
        <v>74</v>
      </c>
      <c r="BA286" t="s">
        <v>74</v>
      </c>
      <c r="BB286">
        <v>69</v>
      </c>
      <c r="BC286">
        <v>69</v>
      </c>
      <c r="BD286" t="s">
        <v>74</v>
      </c>
      <c r="BE286" t="s">
        <v>74</v>
      </c>
      <c r="BF286" t="s">
        <v>74</v>
      </c>
      <c r="BG286" t="s">
        <v>74</v>
      </c>
      <c r="BH286" t="s">
        <v>74</v>
      </c>
      <c r="BI286">
        <v>1</v>
      </c>
      <c r="BJ286" t="s">
        <v>4915</v>
      </c>
      <c r="BK286" t="s">
        <v>97</v>
      </c>
      <c r="BL286" t="s">
        <v>4916</v>
      </c>
      <c r="BM286" t="s">
        <v>4917</v>
      </c>
      <c r="BN286" t="s">
        <v>74</v>
      </c>
      <c r="BO286" t="s">
        <v>74</v>
      </c>
      <c r="BP286" t="s">
        <v>74</v>
      </c>
      <c r="BQ286" t="s">
        <v>74</v>
      </c>
      <c r="BR286" t="s">
        <v>100</v>
      </c>
      <c r="BS286" t="s">
        <v>4918</v>
      </c>
      <c r="BT286" t="str">
        <f>HYPERLINK("https%3A%2F%2Fwww.webofscience.com%2Fwos%2Fwoscc%2Ffull-record%2FWOS:000273382800033","View Full Record in Web of Science")</f>
        <v>View Full Record in Web of Science</v>
      </c>
    </row>
    <row r="287" spans="1:72" x14ac:dyDescent="0.15">
      <c r="A287" t="s">
        <v>72</v>
      </c>
      <c r="B287" t="s">
        <v>4919</v>
      </c>
      <c r="C287" t="s">
        <v>74</v>
      </c>
      <c r="D287" t="s">
        <v>74</v>
      </c>
      <c r="E287" t="s">
        <v>74</v>
      </c>
      <c r="F287" t="s">
        <v>4920</v>
      </c>
      <c r="G287" t="s">
        <v>74</v>
      </c>
      <c r="H287" t="s">
        <v>74</v>
      </c>
      <c r="I287" t="s">
        <v>4921</v>
      </c>
      <c r="J287" t="s">
        <v>4905</v>
      </c>
      <c r="K287" t="s">
        <v>74</v>
      </c>
      <c r="L287" t="s">
        <v>74</v>
      </c>
      <c r="M287" t="s">
        <v>78</v>
      </c>
      <c r="N287" t="s">
        <v>52</v>
      </c>
      <c r="O287" t="s">
        <v>74</v>
      </c>
      <c r="P287" t="s">
        <v>74</v>
      </c>
      <c r="Q287" t="s">
        <v>74</v>
      </c>
      <c r="R287" t="s">
        <v>74</v>
      </c>
      <c r="S287" t="s">
        <v>74</v>
      </c>
      <c r="T287" t="s">
        <v>74</v>
      </c>
      <c r="U287" t="s">
        <v>74</v>
      </c>
      <c r="V287" t="s">
        <v>74</v>
      </c>
      <c r="W287" t="s">
        <v>4922</v>
      </c>
      <c r="X287" t="s">
        <v>4923</v>
      </c>
      <c r="Y287" t="s">
        <v>74</v>
      </c>
      <c r="Z287" t="s">
        <v>4924</v>
      </c>
      <c r="AA287" t="s">
        <v>4925</v>
      </c>
      <c r="AB287" t="s">
        <v>4926</v>
      </c>
      <c r="AC287" t="s">
        <v>74</v>
      </c>
      <c r="AD287" t="s">
        <v>74</v>
      </c>
      <c r="AE287" t="s">
        <v>74</v>
      </c>
      <c r="AF287" t="s">
        <v>74</v>
      </c>
      <c r="AG287">
        <v>0</v>
      </c>
      <c r="AH287">
        <v>0</v>
      </c>
      <c r="AI287">
        <v>0</v>
      </c>
      <c r="AJ287">
        <v>0</v>
      </c>
      <c r="AK287">
        <v>5</v>
      </c>
      <c r="AL287" t="s">
        <v>2556</v>
      </c>
      <c r="AM287" t="s">
        <v>662</v>
      </c>
      <c r="AN287" t="s">
        <v>4911</v>
      </c>
      <c r="AO287" t="s">
        <v>4912</v>
      </c>
      <c r="AP287" t="s">
        <v>74</v>
      </c>
      <c r="AQ287" t="s">
        <v>74</v>
      </c>
      <c r="AR287" t="s">
        <v>4913</v>
      </c>
      <c r="AS287" t="s">
        <v>4914</v>
      </c>
      <c r="AT287" t="s">
        <v>1490</v>
      </c>
      <c r="AU287">
        <v>2008</v>
      </c>
      <c r="AV287">
        <v>7</v>
      </c>
      <c r="AW287">
        <v>1</v>
      </c>
      <c r="AX287" t="s">
        <v>74</v>
      </c>
      <c r="AY287" t="s">
        <v>74</v>
      </c>
      <c r="AZ287" t="s">
        <v>74</v>
      </c>
      <c r="BA287" t="s">
        <v>74</v>
      </c>
      <c r="BB287">
        <v>84</v>
      </c>
      <c r="BC287">
        <v>84</v>
      </c>
      <c r="BD287" t="s">
        <v>74</v>
      </c>
      <c r="BE287" t="s">
        <v>74</v>
      </c>
      <c r="BF287" t="s">
        <v>74</v>
      </c>
      <c r="BG287" t="s">
        <v>74</v>
      </c>
      <c r="BH287" t="s">
        <v>74</v>
      </c>
      <c r="BI287">
        <v>1</v>
      </c>
      <c r="BJ287" t="s">
        <v>4915</v>
      </c>
      <c r="BK287" t="s">
        <v>97</v>
      </c>
      <c r="BL287" t="s">
        <v>4916</v>
      </c>
      <c r="BM287" t="s">
        <v>4917</v>
      </c>
      <c r="BN287" t="s">
        <v>74</v>
      </c>
      <c r="BO287" t="s">
        <v>74</v>
      </c>
      <c r="BP287" t="s">
        <v>74</v>
      </c>
      <c r="BQ287" t="s">
        <v>74</v>
      </c>
      <c r="BR287" t="s">
        <v>100</v>
      </c>
      <c r="BS287" t="s">
        <v>4927</v>
      </c>
      <c r="BT287" t="str">
        <f>HYPERLINK("https%3A%2F%2Fwww.webofscience.com%2Fwos%2Fwoscc%2Ffull-record%2FWOS:000273382800082","View Full Record in Web of Science")</f>
        <v>View Full Record in Web of Science</v>
      </c>
    </row>
    <row r="288" spans="1:72" x14ac:dyDescent="0.15">
      <c r="A288" t="s">
        <v>72</v>
      </c>
      <c r="B288" t="s">
        <v>4928</v>
      </c>
      <c r="C288" t="s">
        <v>74</v>
      </c>
      <c r="D288" t="s">
        <v>74</v>
      </c>
      <c r="E288" t="s">
        <v>74</v>
      </c>
      <c r="F288" t="s">
        <v>4929</v>
      </c>
      <c r="G288" t="s">
        <v>74</v>
      </c>
      <c r="H288" t="s">
        <v>74</v>
      </c>
      <c r="I288" t="s">
        <v>4930</v>
      </c>
      <c r="J288" t="s">
        <v>4931</v>
      </c>
      <c r="K288" t="s">
        <v>74</v>
      </c>
      <c r="L288" t="s">
        <v>74</v>
      </c>
      <c r="M288" t="s">
        <v>78</v>
      </c>
      <c r="N288" t="s">
        <v>79</v>
      </c>
      <c r="O288" t="s">
        <v>74</v>
      </c>
      <c r="P288" t="s">
        <v>74</v>
      </c>
      <c r="Q288" t="s">
        <v>74</v>
      </c>
      <c r="R288" t="s">
        <v>74</v>
      </c>
      <c r="S288" t="s">
        <v>74</v>
      </c>
      <c r="T288" t="s">
        <v>74</v>
      </c>
      <c r="U288" t="s">
        <v>4932</v>
      </c>
      <c r="V288" t="s">
        <v>4933</v>
      </c>
      <c r="W288" t="s">
        <v>4934</v>
      </c>
      <c r="X288" t="s">
        <v>4935</v>
      </c>
      <c r="Y288" t="s">
        <v>4936</v>
      </c>
      <c r="Z288" t="s">
        <v>4937</v>
      </c>
      <c r="AA288" t="s">
        <v>74</v>
      </c>
      <c r="AB288" t="s">
        <v>74</v>
      </c>
      <c r="AC288" t="s">
        <v>3541</v>
      </c>
      <c r="AD288" t="s">
        <v>3542</v>
      </c>
      <c r="AE288" t="s">
        <v>74</v>
      </c>
      <c r="AF288" t="s">
        <v>74</v>
      </c>
      <c r="AG288">
        <v>74</v>
      </c>
      <c r="AH288">
        <v>20</v>
      </c>
      <c r="AI288">
        <v>22</v>
      </c>
      <c r="AJ288">
        <v>0</v>
      </c>
      <c r="AK288">
        <v>15</v>
      </c>
      <c r="AL288" t="s">
        <v>1331</v>
      </c>
      <c r="AM288" t="s">
        <v>1421</v>
      </c>
      <c r="AN288" t="s">
        <v>2160</v>
      </c>
      <c r="AO288" t="s">
        <v>4938</v>
      </c>
      <c r="AP288" t="s">
        <v>4939</v>
      </c>
      <c r="AQ288" t="s">
        <v>74</v>
      </c>
      <c r="AR288" t="s">
        <v>4940</v>
      </c>
      <c r="AS288" t="s">
        <v>4941</v>
      </c>
      <c r="AT288" t="s">
        <v>74</v>
      </c>
      <c r="AU288">
        <v>2008</v>
      </c>
      <c r="AV288">
        <v>29</v>
      </c>
      <c r="AW288">
        <v>3</v>
      </c>
      <c r="AX288" t="s">
        <v>74</v>
      </c>
      <c r="AY288" t="s">
        <v>74</v>
      </c>
      <c r="AZ288" t="s">
        <v>74</v>
      </c>
      <c r="BA288" t="s">
        <v>74</v>
      </c>
      <c r="BB288">
        <v>801</v>
      </c>
      <c r="BC288">
        <v>829</v>
      </c>
      <c r="BD288" t="s">
        <v>74</v>
      </c>
      <c r="BE288" t="s">
        <v>4942</v>
      </c>
      <c r="BF288" t="str">
        <f>HYPERLINK("http://dx.doi.org/10.1080/01431160701297615","http://dx.doi.org/10.1080/01431160701297615")</f>
        <v>http://dx.doi.org/10.1080/01431160701297615</v>
      </c>
      <c r="BG288" t="s">
        <v>74</v>
      </c>
      <c r="BH288" t="s">
        <v>74</v>
      </c>
      <c r="BI288">
        <v>29</v>
      </c>
      <c r="BJ288" t="s">
        <v>4943</v>
      </c>
      <c r="BK288" t="s">
        <v>97</v>
      </c>
      <c r="BL288" t="s">
        <v>4943</v>
      </c>
      <c r="BM288" t="s">
        <v>4944</v>
      </c>
      <c r="BN288" t="s">
        <v>74</v>
      </c>
      <c r="BO288" t="s">
        <v>74</v>
      </c>
      <c r="BP288" t="s">
        <v>74</v>
      </c>
      <c r="BQ288" t="s">
        <v>74</v>
      </c>
      <c r="BR288" t="s">
        <v>100</v>
      </c>
      <c r="BS288" t="s">
        <v>4945</v>
      </c>
      <c r="BT288" t="str">
        <f>HYPERLINK("https%3A%2F%2Fwww.webofscience.com%2Fwos%2Fwoscc%2Ffull-record%2FWOS:000252346800011","View Full Record in Web of Science")</f>
        <v>View Full Record in Web of Science</v>
      </c>
    </row>
    <row r="289" spans="1:72" x14ac:dyDescent="0.15">
      <c r="A289" t="s">
        <v>72</v>
      </c>
      <c r="B289" t="s">
        <v>4946</v>
      </c>
      <c r="C289" t="s">
        <v>74</v>
      </c>
      <c r="D289" t="s">
        <v>74</v>
      </c>
      <c r="E289" t="s">
        <v>74</v>
      </c>
      <c r="F289" t="s">
        <v>4947</v>
      </c>
      <c r="G289" t="s">
        <v>74</v>
      </c>
      <c r="H289" t="s">
        <v>74</v>
      </c>
      <c r="I289" t="s">
        <v>4948</v>
      </c>
      <c r="J289" t="s">
        <v>4931</v>
      </c>
      <c r="K289" t="s">
        <v>74</v>
      </c>
      <c r="L289" t="s">
        <v>74</v>
      </c>
      <c r="M289" t="s">
        <v>78</v>
      </c>
      <c r="N289" t="s">
        <v>79</v>
      </c>
      <c r="O289" t="s">
        <v>74</v>
      </c>
      <c r="P289" t="s">
        <v>74</v>
      </c>
      <c r="Q289" t="s">
        <v>74</v>
      </c>
      <c r="R289" t="s">
        <v>74</v>
      </c>
      <c r="S289" t="s">
        <v>74</v>
      </c>
      <c r="T289" t="s">
        <v>74</v>
      </c>
      <c r="U289" t="s">
        <v>4949</v>
      </c>
      <c r="V289" t="s">
        <v>4950</v>
      </c>
      <c r="W289" t="s">
        <v>4951</v>
      </c>
      <c r="X289" t="s">
        <v>1610</v>
      </c>
      <c r="Y289" t="s">
        <v>4952</v>
      </c>
      <c r="Z289" t="s">
        <v>1612</v>
      </c>
      <c r="AA289" t="s">
        <v>1613</v>
      </c>
      <c r="AB289" t="s">
        <v>1614</v>
      </c>
      <c r="AC289" t="s">
        <v>74</v>
      </c>
      <c r="AD289" t="s">
        <v>74</v>
      </c>
      <c r="AE289" t="s">
        <v>74</v>
      </c>
      <c r="AF289" t="s">
        <v>74</v>
      </c>
      <c r="AG289">
        <v>20</v>
      </c>
      <c r="AH289">
        <v>6</v>
      </c>
      <c r="AI289">
        <v>6</v>
      </c>
      <c r="AJ289">
        <v>0</v>
      </c>
      <c r="AK289">
        <v>2</v>
      </c>
      <c r="AL289" t="s">
        <v>1331</v>
      </c>
      <c r="AM289" t="s">
        <v>1421</v>
      </c>
      <c r="AN289" t="s">
        <v>2160</v>
      </c>
      <c r="AO289" t="s">
        <v>4938</v>
      </c>
      <c r="AP289" t="s">
        <v>4939</v>
      </c>
      <c r="AQ289" t="s">
        <v>74</v>
      </c>
      <c r="AR289" t="s">
        <v>4940</v>
      </c>
      <c r="AS289" t="s">
        <v>4941</v>
      </c>
      <c r="AT289" t="s">
        <v>74</v>
      </c>
      <c r="AU289">
        <v>2008</v>
      </c>
      <c r="AV289">
        <v>29</v>
      </c>
      <c r="AW289">
        <v>9</v>
      </c>
      <c r="AX289" t="s">
        <v>74</v>
      </c>
      <c r="AY289" t="s">
        <v>74</v>
      </c>
      <c r="AZ289" t="s">
        <v>74</v>
      </c>
      <c r="BA289" t="s">
        <v>74</v>
      </c>
      <c r="BB289">
        <v>2675</v>
      </c>
      <c r="BC289">
        <v>2683</v>
      </c>
      <c r="BD289" t="s">
        <v>74</v>
      </c>
      <c r="BE289" t="s">
        <v>4953</v>
      </c>
      <c r="BF289" t="str">
        <f>HYPERLINK("http://dx.doi.org/10.1080/01431160701767591","http://dx.doi.org/10.1080/01431160701767591")</f>
        <v>http://dx.doi.org/10.1080/01431160701767591</v>
      </c>
      <c r="BG289" t="s">
        <v>74</v>
      </c>
      <c r="BH289" t="s">
        <v>74</v>
      </c>
      <c r="BI289">
        <v>9</v>
      </c>
      <c r="BJ289" t="s">
        <v>4943</v>
      </c>
      <c r="BK289" t="s">
        <v>97</v>
      </c>
      <c r="BL289" t="s">
        <v>4943</v>
      </c>
      <c r="BM289" t="s">
        <v>4954</v>
      </c>
      <c r="BN289" t="s">
        <v>74</v>
      </c>
      <c r="BO289" t="s">
        <v>74</v>
      </c>
      <c r="BP289" t="s">
        <v>74</v>
      </c>
      <c r="BQ289" t="s">
        <v>74</v>
      </c>
      <c r="BR289" t="s">
        <v>100</v>
      </c>
      <c r="BS289" t="s">
        <v>4955</v>
      </c>
      <c r="BT289" t="str">
        <f>HYPERLINK("https%3A%2F%2Fwww.webofscience.com%2Fwos%2Fwoscc%2Ffull-record%2FWOS:000255294100013","View Full Record in Web of Science")</f>
        <v>View Full Record in Web of Science</v>
      </c>
    </row>
    <row r="290" spans="1:72" x14ac:dyDescent="0.15">
      <c r="A290" t="s">
        <v>72</v>
      </c>
      <c r="B290" t="s">
        <v>4956</v>
      </c>
      <c r="C290" t="s">
        <v>74</v>
      </c>
      <c r="D290" t="s">
        <v>74</v>
      </c>
      <c r="E290" t="s">
        <v>74</v>
      </c>
      <c r="F290" t="s">
        <v>4957</v>
      </c>
      <c r="G290" t="s">
        <v>74</v>
      </c>
      <c r="H290" t="s">
        <v>74</v>
      </c>
      <c r="I290" t="s">
        <v>4958</v>
      </c>
      <c r="J290" t="s">
        <v>4931</v>
      </c>
      <c r="K290" t="s">
        <v>74</v>
      </c>
      <c r="L290" t="s">
        <v>74</v>
      </c>
      <c r="M290" t="s">
        <v>78</v>
      </c>
      <c r="N290" t="s">
        <v>79</v>
      </c>
      <c r="O290" t="s">
        <v>74</v>
      </c>
      <c r="P290" t="s">
        <v>74</v>
      </c>
      <c r="Q290" t="s">
        <v>74</v>
      </c>
      <c r="R290" t="s">
        <v>74</v>
      </c>
      <c r="S290" t="s">
        <v>74</v>
      </c>
      <c r="T290" t="s">
        <v>74</v>
      </c>
      <c r="U290" t="s">
        <v>4959</v>
      </c>
      <c r="V290" t="s">
        <v>4960</v>
      </c>
      <c r="W290" t="s">
        <v>4961</v>
      </c>
      <c r="X290" t="s">
        <v>4962</v>
      </c>
      <c r="Y290" t="s">
        <v>4963</v>
      </c>
      <c r="Z290" t="s">
        <v>4964</v>
      </c>
      <c r="AA290" t="s">
        <v>4965</v>
      </c>
      <c r="AB290" t="s">
        <v>4966</v>
      </c>
      <c r="AC290" t="s">
        <v>74</v>
      </c>
      <c r="AD290" t="s">
        <v>74</v>
      </c>
      <c r="AE290" t="s">
        <v>74</v>
      </c>
      <c r="AF290" t="s">
        <v>74</v>
      </c>
      <c r="AG290">
        <v>69</v>
      </c>
      <c r="AH290">
        <v>6</v>
      </c>
      <c r="AI290">
        <v>7</v>
      </c>
      <c r="AJ290">
        <v>1</v>
      </c>
      <c r="AK290">
        <v>14</v>
      </c>
      <c r="AL290" t="s">
        <v>1331</v>
      </c>
      <c r="AM290" t="s">
        <v>1421</v>
      </c>
      <c r="AN290" t="s">
        <v>1422</v>
      </c>
      <c r="AO290" t="s">
        <v>4938</v>
      </c>
      <c r="AP290" t="s">
        <v>74</v>
      </c>
      <c r="AQ290" t="s">
        <v>74</v>
      </c>
      <c r="AR290" t="s">
        <v>4940</v>
      </c>
      <c r="AS290" t="s">
        <v>4941</v>
      </c>
      <c r="AT290" t="s">
        <v>74</v>
      </c>
      <c r="AU290">
        <v>2008</v>
      </c>
      <c r="AV290">
        <v>29</v>
      </c>
      <c r="AW290">
        <v>9</v>
      </c>
      <c r="AX290" t="s">
        <v>74</v>
      </c>
      <c r="AY290" t="s">
        <v>74</v>
      </c>
      <c r="AZ290" t="s">
        <v>74</v>
      </c>
      <c r="BA290" t="s">
        <v>74</v>
      </c>
      <c r="BB290">
        <v>2749</v>
      </c>
      <c r="BC290">
        <v>2774</v>
      </c>
      <c r="BD290" t="s">
        <v>74</v>
      </c>
      <c r="BE290" t="s">
        <v>4967</v>
      </c>
      <c r="BF290" t="str">
        <f>HYPERLINK("http://dx.doi.org/10.1080/01431160701767583","http://dx.doi.org/10.1080/01431160701767583")</f>
        <v>http://dx.doi.org/10.1080/01431160701767583</v>
      </c>
      <c r="BG290" t="s">
        <v>74</v>
      </c>
      <c r="BH290" t="s">
        <v>74</v>
      </c>
      <c r="BI290">
        <v>26</v>
      </c>
      <c r="BJ290" t="s">
        <v>4943</v>
      </c>
      <c r="BK290" t="s">
        <v>97</v>
      </c>
      <c r="BL290" t="s">
        <v>4943</v>
      </c>
      <c r="BM290" t="s">
        <v>4954</v>
      </c>
      <c r="BN290" t="s">
        <v>74</v>
      </c>
      <c r="BO290" t="s">
        <v>74</v>
      </c>
      <c r="BP290" t="s">
        <v>74</v>
      </c>
      <c r="BQ290" t="s">
        <v>74</v>
      </c>
      <c r="BR290" t="s">
        <v>100</v>
      </c>
      <c r="BS290" t="s">
        <v>4968</v>
      </c>
      <c r="BT290" t="str">
        <f>HYPERLINK("https%3A%2F%2Fwww.webofscience.com%2Fwos%2Fwoscc%2Ffull-record%2FWOS:000255294100018","View Full Record in Web of Science")</f>
        <v>View Full Record in Web of Science</v>
      </c>
    </row>
    <row r="291" spans="1:72" x14ac:dyDescent="0.15">
      <c r="A291" t="s">
        <v>72</v>
      </c>
      <c r="B291" t="s">
        <v>4969</v>
      </c>
      <c r="C291" t="s">
        <v>74</v>
      </c>
      <c r="D291" t="s">
        <v>74</v>
      </c>
      <c r="E291" t="s">
        <v>74</v>
      </c>
      <c r="F291" t="s">
        <v>4970</v>
      </c>
      <c r="G291" t="s">
        <v>74</v>
      </c>
      <c r="H291" t="s">
        <v>74</v>
      </c>
      <c r="I291" t="s">
        <v>4971</v>
      </c>
      <c r="J291" t="s">
        <v>4931</v>
      </c>
      <c r="K291" t="s">
        <v>74</v>
      </c>
      <c r="L291" t="s">
        <v>74</v>
      </c>
      <c r="M291" t="s">
        <v>78</v>
      </c>
      <c r="N291" t="s">
        <v>79</v>
      </c>
      <c r="O291" t="s">
        <v>74</v>
      </c>
      <c r="P291" t="s">
        <v>74</v>
      </c>
      <c r="Q291" t="s">
        <v>74</v>
      </c>
      <c r="R291" t="s">
        <v>74</v>
      </c>
      <c r="S291" t="s">
        <v>74</v>
      </c>
      <c r="T291" t="s">
        <v>74</v>
      </c>
      <c r="U291" t="s">
        <v>4972</v>
      </c>
      <c r="V291" t="s">
        <v>4973</v>
      </c>
      <c r="W291" t="s">
        <v>4974</v>
      </c>
      <c r="X291" t="s">
        <v>4975</v>
      </c>
      <c r="Y291" t="s">
        <v>4976</v>
      </c>
      <c r="Z291" t="s">
        <v>4977</v>
      </c>
      <c r="AA291" t="s">
        <v>4978</v>
      </c>
      <c r="AB291" t="s">
        <v>4979</v>
      </c>
      <c r="AC291" t="s">
        <v>4980</v>
      </c>
      <c r="AD291" t="s">
        <v>4981</v>
      </c>
      <c r="AE291" t="s">
        <v>4982</v>
      </c>
      <c r="AF291" t="s">
        <v>74</v>
      </c>
      <c r="AG291">
        <v>36</v>
      </c>
      <c r="AH291">
        <v>14</v>
      </c>
      <c r="AI291">
        <v>16</v>
      </c>
      <c r="AJ291">
        <v>0</v>
      </c>
      <c r="AK291">
        <v>7</v>
      </c>
      <c r="AL291" t="s">
        <v>1331</v>
      </c>
      <c r="AM291" t="s">
        <v>1421</v>
      </c>
      <c r="AN291" t="s">
        <v>1422</v>
      </c>
      <c r="AO291" t="s">
        <v>4938</v>
      </c>
      <c r="AP291" t="s">
        <v>74</v>
      </c>
      <c r="AQ291" t="s">
        <v>74</v>
      </c>
      <c r="AR291" t="s">
        <v>4940</v>
      </c>
      <c r="AS291" t="s">
        <v>4941</v>
      </c>
      <c r="AT291" t="s">
        <v>74</v>
      </c>
      <c r="AU291">
        <v>2008</v>
      </c>
      <c r="AV291">
        <v>29</v>
      </c>
      <c r="AW291">
        <v>19</v>
      </c>
      <c r="AX291" t="s">
        <v>74</v>
      </c>
      <c r="AY291" t="s">
        <v>74</v>
      </c>
      <c r="AZ291" t="s">
        <v>74</v>
      </c>
      <c r="BA291" t="s">
        <v>74</v>
      </c>
      <c r="BB291">
        <v>5533</v>
      </c>
      <c r="BC291">
        <v>5553</v>
      </c>
      <c r="BD291" t="s">
        <v>74</v>
      </c>
      <c r="BE291" t="s">
        <v>4983</v>
      </c>
      <c r="BF291" t="str">
        <f>HYPERLINK("http://dx.doi.org/10.1080/01431160802020510","http://dx.doi.org/10.1080/01431160802020510")</f>
        <v>http://dx.doi.org/10.1080/01431160802020510</v>
      </c>
      <c r="BG291" t="s">
        <v>74</v>
      </c>
      <c r="BH291" t="s">
        <v>74</v>
      </c>
      <c r="BI291">
        <v>21</v>
      </c>
      <c r="BJ291" t="s">
        <v>4943</v>
      </c>
      <c r="BK291" t="s">
        <v>97</v>
      </c>
      <c r="BL291" t="s">
        <v>4943</v>
      </c>
      <c r="BM291" t="s">
        <v>4984</v>
      </c>
      <c r="BN291" t="s">
        <v>74</v>
      </c>
      <c r="BO291" t="s">
        <v>74</v>
      </c>
      <c r="BP291" t="s">
        <v>74</v>
      </c>
      <c r="BQ291" t="s">
        <v>74</v>
      </c>
      <c r="BR291" t="s">
        <v>100</v>
      </c>
      <c r="BS291" t="s">
        <v>4985</v>
      </c>
      <c r="BT291" t="str">
        <f>HYPERLINK("https%3A%2F%2Fwww.webofscience.com%2Fwos%2Fwoscc%2Ffull-record%2FWOS:000259366200006","View Full Record in Web of Science")</f>
        <v>View Full Record in Web of Science</v>
      </c>
    </row>
    <row r="292" spans="1:72" x14ac:dyDescent="0.15">
      <c r="A292" t="s">
        <v>72</v>
      </c>
      <c r="B292" t="s">
        <v>4986</v>
      </c>
      <c r="C292" t="s">
        <v>74</v>
      </c>
      <c r="D292" t="s">
        <v>74</v>
      </c>
      <c r="E292" t="s">
        <v>74</v>
      </c>
      <c r="F292" t="s">
        <v>4987</v>
      </c>
      <c r="G292" t="s">
        <v>74</v>
      </c>
      <c r="H292" t="s">
        <v>74</v>
      </c>
      <c r="I292" t="s">
        <v>4988</v>
      </c>
      <c r="J292" t="s">
        <v>4931</v>
      </c>
      <c r="K292" t="s">
        <v>74</v>
      </c>
      <c r="L292" t="s">
        <v>74</v>
      </c>
      <c r="M292" t="s">
        <v>78</v>
      </c>
      <c r="N292" t="s">
        <v>79</v>
      </c>
      <c r="O292" t="s">
        <v>74</v>
      </c>
      <c r="P292" t="s">
        <v>74</v>
      </c>
      <c r="Q292" t="s">
        <v>74</v>
      </c>
      <c r="R292" t="s">
        <v>74</v>
      </c>
      <c r="S292" t="s">
        <v>74</v>
      </c>
      <c r="T292" t="s">
        <v>74</v>
      </c>
      <c r="U292" t="s">
        <v>4989</v>
      </c>
      <c r="V292" t="s">
        <v>4990</v>
      </c>
      <c r="W292" t="s">
        <v>4991</v>
      </c>
      <c r="X292" t="s">
        <v>4992</v>
      </c>
      <c r="Y292" t="s">
        <v>4993</v>
      </c>
      <c r="Z292" t="s">
        <v>4994</v>
      </c>
      <c r="AA292" t="s">
        <v>74</v>
      </c>
      <c r="AB292" t="s">
        <v>4995</v>
      </c>
      <c r="AC292" t="s">
        <v>4996</v>
      </c>
      <c r="AD292" t="s">
        <v>4997</v>
      </c>
      <c r="AE292" t="s">
        <v>4998</v>
      </c>
      <c r="AF292" t="s">
        <v>74</v>
      </c>
      <c r="AG292">
        <v>8</v>
      </c>
      <c r="AH292">
        <v>109</v>
      </c>
      <c r="AI292">
        <v>118</v>
      </c>
      <c r="AJ292">
        <v>4</v>
      </c>
      <c r="AK292">
        <v>28</v>
      </c>
      <c r="AL292" t="s">
        <v>1331</v>
      </c>
      <c r="AM292" t="s">
        <v>1421</v>
      </c>
      <c r="AN292" t="s">
        <v>2160</v>
      </c>
      <c r="AO292" t="s">
        <v>4938</v>
      </c>
      <c r="AP292" t="s">
        <v>4939</v>
      </c>
      <c r="AQ292" t="s">
        <v>74</v>
      </c>
      <c r="AR292" t="s">
        <v>4940</v>
      </c>
      <c r="AS292" t="s">
        <v>4941</v>
      </c>
      <c r="AT292" t="s">
        <v>74</v>
      </c>
      <c r="AU292">
        <v>2008</v>
      </c>
      <c r="AV292">
        <v>29</v>
      </c>
      <c r="AW292">
        <v>21</v>
      </c>
      <c r="AX292" t="s">
        <v>74</v>
      </c>
      <c r="AY292" t="s">
        <v>74</v>
      </c>
      <c r="AZ292" t="s">
        <v>74</v>
      </c>
      <c r="BA292" t="s">
        <v>74</v>
      </c>
      <c r="BB292">
        <v>6209</v>
      </c>
      <c r="BC292">
        <v>6216</v>
      </c>
      <c r="BD292" t="s">
        <v>74</v>
      </c>
      <c r="BE292" t="s">
        <v>4999</v>
      </c>
      <c r="BF292" t="str">
        <f>HYPERLINK("http://dx.doi.org/10.1080/01431160802178110","http://dx.doi.org/10.1080/01431160802178110")</f>
        <v>http://dx.doi.org/10.1080/01431160802178110</v>
      </c>
      <c r="BG292" t="s">
        <v>74</v>
      </c>
      <c r="BH292" t="s">
        <v>74</v>
      </c>
      <c r="BI292">
        <v>8</v>
      </c>
      <c r="BJ292" t="s">
        <v>4943</v>
      </c>
      <c r="BK292" t="s">
        <v>97</v>
      </c>
      <c r="BL292" t="s">
        <v>4943</v>
      </c>
      <c r="BM292" t="s">
        <v>5000</v>
      </c>
      <c r="BN292" t="s">
        <v>74</v>
      </c>
      <c r="BO292" t="s">
        <v>74</v>
      </c>
      <c r="BP292" t="s">
        <v>74</v>
      </c>
      <c r="BQ292" t="s">
        <v>74</v>
      </c>
      <c r="BR292" t="s">
        <v>100</v>
      </c>
      <c r="BS292" t="s">
        <v>5001</v>
      </c>
      <c r="BT292" t="str">
        <f>HYPERLINK("https%3A%2F%2Fwww.webofscience.com%2Fwos%2Fwoscc%2Ffull-record%2FWOS:000260326200010","View Full Record in Web of Science")</f>
        <v>View Full Record in Web of Science</v>
      </c>
    </row>
    <row r="293" spans="1:72" x14ac:dyDescent="0.15">
      <c r="A293" t="s">
        <v>72</v>
      </c>
      <c r="B293" t="s">
        <v>5002</v>
      </c>
      <c r="C293" t="s">
        <v>74</v>
      </c>
      <c r="D293" t="s">
        <v>74</v>
      </c>
      <c r="E293" t="s">
        <v>74</v>
      </c>
      <c r="F293" t="s">
        <v>5003</v>
      </c>
      <c r="G293" t="s">
        <v>74</v>
      </c>
      <c r="H293" t="s">
        <v>74</v>
      </c>
      <c r="I293" t="s">
        <v>5004</v>
      </c>
      <c r="J293" t="s">
        <v>5005</v>
      </c>
      <c r="K293" t="s">
        <v>74</v>
      </c>
      <c r="L293" t="s">
        <v>74</v>
      </c>
      <c r="M293" t="s">
        <v>78</v>
      </c>
      <c r="N293" t="s">
        <v>79</v>
      </c>
      <c r="O293" t="s">
        <v>74</v>
      </c>
      <c r="P293" t="s">
        <v>74</v>
      </c>
      <c r="Q293" t="s">
        <v>74</v>
      </c>
      <c r="R293" t="s">
        <v>74</v>
      </c>
      <c r="S293" t="s">
        <v>74</v>
      </c>
      <c r="T293" t="s">
        <v>74</v>
      </c>
      <c r="U293" t="s">
        <v>5006</v>
      </c>
      <c r="V293" t="s">
        <v>5007</v>
      </c>
      <c r="W293" t="s">
        <v>5008</v>
      </c>
      <c r="X293" t="s">
        <v>5009</v>
      </c>
      <c r="Y293" t="s">
        <v>5010</v>
      </c>
      <c r="Z293" t="s">
        <v>5011</v>
      </c>
      <c r="AA293" t="s">
        <v>5012</v>
      </c>
      <c r="AB293" t="s">
        <v>5013</v>
      </c>
      <c r="AC293" t="s">
        <v>74</v>
      </c>
      <c r="AD293" t="s">
        <v>74</v>
      </c>
      <c r="AE293" t="s">
        <v>74</v>
      </c>
      <c r="AF293" t="s">
        <v>74</v>
      </c>
      <c r="AG293">
        <v>14</v>
      </c>
      <c r="AH293">
        <v>20</v>
      </c>
      <c r="AI293">
        <v>20</v>
      </c>
      <c r="AJ293">
        <v>0</v>
      </c>
      <c r="AK293">
        <v>6</v>
      </c>
      <c r="AL293" t="s">
        <v>5014</v>
      </c>
      <c r="AM293" t="s">
        <v>5015</v>
      </c>
      <c r="AN293" t="s">
        <v>5016</v>
      </c>
      <c r="AO293" t="s">
        <v>5017</v>
      </c>
      <c r="AP293" t="s">
        <v>74</v>
      </c>
      <c r="AQ293" t="s">
        <v>74</v>
      </c>
      <c r="AR293" t="s">
        <v>5018</v>
      </c>
      <c r="AS293" t="s">
        <v>5019</v>
      </c>
      <c r="AT293" t="s">
        <v>1490</v>
      </c>
      <c r="AU293">
        <v>2008</v>
      </c>
      <c r="AV293">
        <v>58</v>
      </c>
      <c r="AW293" t="s">
        <v>74</v>
      </c>
      <c r="AX293">
        <v>1</v>
      </c>
      <c r="AY293" t="s">
        <v>74</v>
      </c>
      <c r="AZ293" t="s">
        <v>74</v>
      </c>
      <c r="BA293" t="s">
        <v>74</v>
      </c>
      <c r="BB293">
        <v>50</v>
      </c>
      <c r="BC293">
        <v>52</v>
      </c>
      <c r="BD293" t="s">
        <v>74</v>
      </c>
      <c r="BE293" t="s">
        <v>5020</v>
      </c>
      <c r="BF293" t="str">
        <f>HYPERLINK("http://dx.doi.org/10.1099/ijs.0.65031-0","http://dx.doi.org/10.1099/ijs.0.65031-0")</f>
        <v>http://dx.doi.org/10.1099/ijs.0.65031-0</v>
      </c>
      <c r="BG293" t="s">
        <v>74</v>
      </c>
      <c r="BH293" t="s">
        <v>74</v>
      </c>
      <c r="BI293">
        <v>3</v>
      </c>
      <c r="BJ293" t="s">
        <v>4198</v>
      </c>
      <c r="BK293" t="s">
        <v>97</v>
      </c>
      <c r="BL293" t="s">
        <v>4198</v>
      </c>
      <c r="BM293" t="s">
        <v>5021</v>
      </c>
      <c r="BN293">
        <v>18175681</v>
      </c>
      <c r="BO293" t="s">
        <v>179</v>
      </c>
      <c r="BP293" t="s">
        <v>74</v>
      </c>
      <c r="BQ293" t="s">
        <v>74</v>
      </c>
      <c r="BR293" t="s">
        <v>100</v>
      </c>
      <c r="BS293" t="s">
        <v>5022</v>
      </c>
      <c r="BT293" t="str">
        <f>HYPERLINK("https%3A%2F%2Fwww.webofscience.com%2Fwos%2Fwoscc%2Ffull-record%2FWOS:000253104700010","View Full Record in Web of Science")</f>
        <v>View Full Record in Web of Science</v>
      </c>
    </row>
    <row r="294" spans="1:72" x14ac:dyDescent="0.15">
      <c r="A294" t="s">
        <v>810</v>
      </c>
      <c r="B294" t="s">
        <v>5023</v>
      </c>
      <c r="C294" t="s">
        <v>74</v>
      </c>
      <c r="D294" t="s">
        <v>5024</v>
      </c>
      <c r="E294" t="s">
        <v>74</v>
      </c>
      <c r="F294" t="s">
        <v>5025</v>
      </c>
      <c r="G294" t="s">
        <v>74</v>
      </c>
      <c r="H294" t="s">
        <v>74</v>
      </c>
      <c r="I294" t="s">
        <v>5026</v>
      </c>
      <c r="J294" t="s">
        <v>5027</v>
      </c>
      <c r="K294" t="s">
        <v>74</v>
      </c>
      <c r="L294" t="s">
        <v>74</v>
      </c>
      <c r="M294" t="s">
        <v>78</v>
      </c>
      <c r="N294" t="s">
        <v>1524</v>
      </c>
      <c r="O294" t="s">
        <v>74</v>
      </c>
      <c r="P294" t="s">
        <v>74</v>
      </c>
      <c r="Q294" t="s">
        <v>74</v>
      </c>
      <c r="R294" t="s">
        <v>74</v>
      </c>
      <c r="S294" t="s">
        <v>74</v>
      </c>
      <c r="T294" t="s">
        <v>74</v>
      </c>
      <c r="U294" t="s">
        <v>74</v>
      </c>
      <c r="V294" t="s">
        <v>74</v>
      </c>
      <c r="W294" t="s">
        <v>5028</v>
      </c>
      <c r="X294" t="s">
        <v>5029</v>
      </c>
      <c r="Y294" t="s">
        <v>5030</v>
      </c>
      <c r="Z294" t="s">
        <v>74</v>
      </c>
      <c r="AA294" t="s">
        <v>74</v>
      </c>
      <c r="AB294" t="s">
        <v>74</v>
      </c>
      <c r="AC294" t="s">
        <v>74</v>
      </c>
      <c r="AD294" t="s">
        <v>74</v>
      </c>
      <c r="AE294" t="s">
        <v>74</v>
      </c>
      <c r="AF294" t="s">
        <v>74</v>
      </c>
      <c r="AG294">
        <v>32</v>
      </c>
      <c r="AH294">
        <v>3</v>
      </c>
      <c r="AI294">
        <v>3</v>
      </c>
      <c r="AJ294">
        <v>0</v>
      </c>
      <c r="AK294">
        <v>1</v>
      </c>
      <c r="AL294" t="s">
        <v>5031</v>
      </c>
      <c r="AM294" t="s">
        <v>5032</v>
      </c>
      <c r="AN294" t="s">
        <v>5033</v>
      </c>
      <c r="AO294" t="s">
        <v>74</v>
      </c>
      <c r="AP294" t="s">
        <v>74</v>
      </c>
      <c r="AQ294" t="s">
        <v>5034</v>
      </c>
      <c r="AR294" t="s">
        <v>74</v>
      </c>
      <c r="AS294" t="s">
        <v>74</v>
      </c>
      <c r="AT294" t="s">
        <v>74</v>
      </c>
      <c r="AU294">
        <v>2008</v>
      </c>
      <c r="AV294" t="s">
        <v>74</v>
      </c>
      <c r="AW294" t="s">
        <v>74</v>
      </c>
      <c r="AX294" t="s">
        <v>74</v>
      </c>
      <c r="AY294" t="s">
        <v>74</v>
      </c>
      <c r="AZ294" t="s">
        <v>74</v>
      </c>
      <c r="BA294" t="s">
        <v>74</v>
      </c>
      <c r="BB294">
        <v>165</v>
      </c>
      <c r="BC294">
        <v>197</v>
      </c>
      <c r="BD294" t="s">
        <v>74</v>
      </c>
      <c r="BE294" t="s">
        <v>74</v>
      </c>
      <c r="BF294" t="s">
        <v>74</v>
      </c>
      <c r="BG294" t="s">
        <v>5035</v>
      </c>
      <c r="BH294" t="s">
        <v>74</v>
      </c>
      <c r="BI294">
        <v>33</v>
      </c>
      <c r="BJ294" t="s">
        <v>5036</v>
      </c>
      <c r="BK294" t="s">
        <v>1335</v>
      </c>
      <c r="BL294" t="s">
        <v>5037</v>
      </c>
      <c r="BM294" t="s">
        <v>5038</v>
      </c>
      <c r="BN294" t="s">
        <v>74</v>
      </c>
      <c r="BO294" t="s">
        <v>1050</v>
      </c>
      <c r="BP294" t="s">
        <v>74</v>
      </c>
      <c r="BQ294" t="s">
        <v>74</v>
      </c>
      <c r="BR294" t="s">
        <v>100</v>
      </c>
      <c r="BS294" t="s">
        <v>5039</v>
      </c>
      <c r="BT294" t="str">
        <f>HYPERLINK("https%3A%2F%2Fwww.webofscience.com%2Fwos%2Fwoscc%2Ffull-record%2FWOS:000270539700009","View Full Record in Web of Science")</f>
        <v>View Full Record in Web of Science</v>
      </c>
    </row>
    <row r="295" spans="1:72" x14ac:dyDescent="0.15">
      <c r="A295" t="s">
        <v>72</v>
      </c>
      <c r="B295" t="s">
        <v>5040</v>
      </c>
      <c r="C295" t="s">
        <v>74</v>
      </c>
      <c r="D295" t="s">
        <v>74</v>
      </c>
      <c r="E295" t="s">
        <v>74</v>
      </c>
      <c r="F295" t="s">
        <v>5041</v>
      </c>
      <c r="G295" t="s">
        <v>74</v>
      </c>
      <c r="H295" t="s">
        <v>74</v>
      </c>
      <c r="I295" t="s">
        <v>5042</v>
      </c>
      <c r="J295" t="s">
        <v>5043</v>
      </c>
      <c r="K295" t="s">
        <v>74</v>
      </c>
      <c r="L295" t="s">
        <v>74</v>
      </c>
      <c r="M295" t="s">
        <v>78</v>
      </c>
      <c r="N295" t="s">
        <v>79</v>
      </c>
      <c r="O295" t="s">
        <v>74</v>
      </c>
      <c r="P295" t="s">
        <v>74</v>
      </c>
      <c r="Q295" t="s">
        <v>74</v>
      </c>
      <c r="R295" t="s">
        <v>74</v>
      </c>
      <c r="S295" t="s">
        <v>74</v>
      </c>
      <c r="T295" t="s">
        <v>5044</v>
      </c>
      <c r="U295" t="s">
        <v>5045</v>
      </c>
      <c r="V295" t="s">
        <v>5046</v>
      </c>
      <c r="W295" t="s">
        <v>5047</v>
      </c>
      <c r="X295" t="s">
        <v>5048</v>
      </c>
      <c r="Y295" t="s">
        <v>5049</v>
      </c>
      <c r="Z295" t="s">
        <v>5050</v>
      </c>
      <c r="AA295" t="s">
        <v>74</v>
      </c>
      <c r="AB295" t="s">
        <v>74</v>
      </c>
      <c r="AC295" t="s">
        <v>74</v>
      </c>
      <c r="AD295" t="s">
        <v>74</v>
      </c>
      <c r="AE295" t="s">
        <v>74</v>
      </c>
      <c r="AF295" t="s">
        <v>74</v>
      </c>
      <c r="AG295">
        <v>70</v>
      </c>
      <c r="AH295">
        <v>22</v>
      </c>
      <c r="AI295">
        <v>22</v>
      </c>
      <c r="AJ295">
        <v>0</v>
      </c>
      <c r="AK295">
        <v>17</v>
      </c>
      <c r="AL295" t="s">
        <v>88</v>
      </c>
      <c r="AM295" t="s">
        <v>5051</v>
      </c>
      <c r="AN295" t="s">
        <v>5052</v>
      </c>
      <c r="AO295" t="s">
        <v>5053</v>
      </c>
      <c r="AP295" t="s">
        <v>74</v>
      </c>
      <c r="AQ295" t="s">
        <v>74</v>
      </c>
      <c r="AR295" t="s">
        <v>5054</v>
      </c>
      <c r="AS295" t="s">
        <v>5055</v>
      </c>
      <c r="AT295" t="s">
        <v>74</v>
      </c>
      <c r="AU295">
        <v>2008</v>
      </c>
      <c r="AV295">
        <v>93</v>
      </c>
      <c r="AW295">
        <v>1</v>
      </c>
      <c r="AX295" t="s">
        <v>74</v>
      </c>
      <c r="AY295" t="s">
        <v>74</v>
      </c>
      <c r="AZ295" t="s">
        <v>74</v>
      </c>
      <c r="BA295" t="s">
        <v>74</v>
      </c>
      <c r="BB295">
        <v>106</v>
      </c>
      <c r="BC295">
        <v>126</v>
      </c>
      <c r="BD295" t="s">
        <v>74</v>
      </c>
      <c r="BE295" t="s">
        <v>5056</v>
      </c>
      <c r="BF295" t="str">
        <f>HYPERLINK("http://dx.doi.org/10.1002/iroh.200711006","http://dx.doi.org/10.1002/iroh.200711006")</f>
        <v>http://dx.doi.org/10.1002/iroh.200711006</v>
      </c>
      <c r="BG295" t="s">
        <v>74</v>
      </c>
      <c r="BH295" t="s">
        <v>74</v>
      </c>
      <c r="BI295">
        <v>21</v>
      </c>
      <c r="BJ295" t="s">
        <v>2015</v>
      </c>
      <c r="BK295" t="s">
        <v>97</v>
      </c>
      <c r="BL295" t="s">
        <v>2015</v>
      </c>
      <c r="BM295" t="s">
        <v>5057</v>
      </c>
      <c r="BN295" t="s">
        <v>74</v>
      </c>
      <c r="BO295" t="s">
        <v>74</v>
      </c>
      <c r="BP295" t="s">
        <v>74</v>
      </c>
      <c r="BQ295" t="s">
        <v>74</v>
      </c>
      <c r="BR295" t="s">
        <v>100</v>
      </c>
      <c r="BS295" t="s">
        <v>5058</v>
      </c>
      <c r="BT295" t="str">
        <f>HYPERLINK("https%3A%2F%2Fwww.webofscience.com%2Fwos%2Fwoscc%2Ffull-record%2FWOS:000253459200007","View Full Record in Web of Science")</f>
        <v>View Full Record in Web of Science</v>
      </c>
    </row>
    <row r="296" spans="1:72" x14ac:dyDescent="0.15">
      <c r="A296" t="s">
        <v>816</v>
      </c>
      <c r="B296" t="s">
        <v>5059</v>
      </c>
      <c r="C296" t="s">
        <v>74</v>
      </c>
      <c r="D296" t="s">
        <v>5060</v>
      </c>
      <c r="E296" t="s">
        <v>74</v>
      </c>
      <c r="F296" t="s">
        <v>5061</v>
      </c>
      <c r="G296" t="s">
        <v>74</v>
      </c>
      <c r="H296" t="s">
        <v>74</v>
      </c>
      <c r="I296" t="s">
        <v>5062</v>
      </c>
      <c r="J296" t="s">
        <v>5063</v>
      </c>
      <c r="K296" t="s">
        <v>5064</v>
      </c>
      <c r="L296" t="s">
        <v>74</v>
      </c>
      <c r="M296" t="s">
        <v>78</v>
      </c>
      <c r="N296" t="s">
        <v>823</v>
      </c>
      <c r="O296" t="s">
        <v>5065</v>
      </c>
      <c r="P296" t="s">
        <v>5066</v>
      </c>
      <c r="Q296" t="s">
        <v>5067</v>
      </c>
      <c r="R296" t="s">
        <v>74</v>
      </c>
      <c r="S296" t="s">
        <v>74</v>
      </c>
      <c r="T296" t="s">
        <v>74</v>
      </c>
      <c r="U296" t="s">
        <v>74</v>
      </c>
      <c r="V296" t="s">
        <v>74</v>
      </c>
      <c r="W296" t="s">
        <v>5068</v>
      </c>
      <c r="X296" t="s">
        <v>2515</v>
      </c>
      <c r="Y296" t="s">
        <v>74</v>
      </c>
      <c r="Z296" t="s">
        <v>74</v>
      </c>
      <c r="AA296" t="s">
        <v>74</v>
      </c>
      <c r="AB296" t="s">
        <v>74</v>
      </c>
      <c r="AC296" t="s">
        <v>74</v>
      </c>
      <c r="AD296" t="s">
        <v>74</v>
      </c>
      <c r="AE296" t="s">
        <v>74</v>
      </c>
      <c r="AF296" t="s">
        <v>74</v>
      </c>
      <c r="AG296">
        <v>1</v>
      </c>
      <c r="AH296">
        <v>0</v>
      </c>
      <c r="AI296">
        <v>0</v>
      </c>
      <c r="AJ296">
        <v>0</v>
      </c>
      <c r="AK296">
        <v>1</v>
      </c>
      <c r="AL296" t="s">
        <v>5069</v>
      </c>
      <c r="AM296" t="s">
        <v>5070</v>
      </c>
      <c r="AN296" t="s">
        <v>5071</v>
      </c>
      <c r="AO296" t="s">
        <v>74</v>
      </c>
      <c r="AP296" t="s">
        <v>74</v>
      </c>
      <c r="AQ296" t="s">
        <v>5072</v>
      </c>
      <c r="AR296" t="s">
        <v>5073</v>
      </c>
      <c r="AS296" t="s">
        <v>74</v>
      </c>
      <c r="AT296" t="s">
        <v>74</v>
      </c>
      <c r="AU296">
        <v>2008</v>
      </c>
      <c r="AV296" t="s">
        <v>74</v>
      </c>
      <c r="AW296" t="s">
        <v>74</v>
      </c>
      <c r="AX296" t="s">
        <v>74</v>
      </c>
      <c r="AY296" t="s">
        <v>74</v>
      </c>
      <c r="AZ296" t="s">
        <v>74</v>
      </c>
      <c r="BA296" t="s">
        <v>74</v>
      </c>
      <c r="BB296">
        <v>237</v>
      </c>
      <c r="BC296">
        <v>241</v>
      </c>
      <c r="BD296" t="s">
        <v>74</v>
      </c>
      <c r="BE296" t="s">
        <v>5074</v>
      </c>
      <c r="BF296" t="str">
        <f>HYPERLINK("http://dx.doi.org/10.1142/9789812834645_0026","http://dx.doi.org/10.1142/9789812834645_0026")</f>
        <v>http://dx.doi.org/10.1142/9789812834645_0026</v>
      </c>
      <c r="BG296" t="s">
        <v>74</v>
      </c>
      <c r="BH296" t="s">
        <v>74</v>
      </c>
      <c r="BI296">
        <v>5</v>
      </c>
      <c r="BJ296" t="s">
        <v>5075</v>
      </c>
      <c r="BK296" t="s">
        <v>4169</v>
      </c>
      <c r="BL296" t="s">
        <v>5076</v>
      </c>
      <c r="BM296" t="s">
        <v>5077</v>
      </c>
      <c r="BN296" t="s">
        <v>74</v>
      </c>
      <c r="BO296" t="s">
        <v>74</v>
      </c>
      <c r="BP296" t="s">
        <v>74</v>
      </c>
      <c r="BQ296" t="s">
        <v>74</v>
      </c>
      <c r="BR296" t="s">
        <v>100</v>
      </c>
      <c r="BS296" t="s">
        <v>5078</v>
      </c>
      <c r="BT296" t="str">
        <f>HYPERLINK("https%3A%2F%2Fwww.webofscience.com%2Fwos%2Fwoscc%2Ffull-record%2FWOS:000260159500026","View Full Record in Web of Science")</f>
        <v>View Full Record in Web of Science</v>
      </c>
    </row>
    <row r="297" spans="1:72" x14ac:dyDescent="0.15">
      <c r="A297" t="s">
        <v>72</v>
      </c>
      <c r="B297" t="s">
        <v>5079</v>
      </c>
      <c r="C297" t="s">
        <v>74</v>
      </c>
      <c r="D297" t="s">
        <v>74</v>
      </c>
      <c r="E297" t="s">
        <v>74</v>
      </c>
      <c r="F297" t="s">
        <v>5080</v>
      </c>
      <c r="G297" t="s">
        <v>74</v>
      </c>
      <c r="H297" t="s">
        <v>74</v>
      </c>
      <c r="I297" t="s">
        <v>5081</v>
      </c>
      <c r="J297" t="s">
        <v>5082</v>
      </c>
      <c r="K297" t="s">
        <v>74</v>
      </c>
      <c r="L297" t="s">
        <v>74</v>
      </c>
      <c r="M297" t="s">
        <v>78</v>
      </c>
      <c r="N297" t="s">
        <v>79</v>
      </c>
      <c r="O297" t="s">
        <v>74</v>
      </c>
      <c r="P297" t="s">
        <v>74</v>
      </c>
      <c r="Q297" t="s">
        <v>74</v>
      </c>
      <c r="R297" t="s">
        <v>74</v>
      </c>
      <c r="S297" t="s">
        <v>74</v>
      </c>
      <c r="T297" t="s">
        <v>5083</v>
      </c>
      <c r="U297" t="s">
        <v>5084</v>
      </c>
      <c r="V297" t="s">
        <v>5085</v>
      </c>
      <c r="W297" t="s">
        <v>5086</v>
      </c>
      <c r="X297" t="s">
        <v>5087</v>
      </c>
      <c r="Y297" t="s">
        <v>5088</v>
      </c>
      <c r="Z297" t="s">
        <v>5089</v>
      </c>
      <c r="AA297" t="s">
        <v>5090</v>
      </c>
      <c r="AB297" t="s">
        <v>5091</v>
      </c>
      <c r="AC297" t="s">
        <v>5092</v>
      </c>
      <c r="AD297" t="s">
        <v>5092</v>
      </c>
      <c r="AE297" t="s">
        <v>5093</v>
      </c>
      <c r="AF297" t="s">
        <v>74</v>
      </c>
      <c r="AG297">
        <v>25</v>
      </c>
      <c r="AH297">
        <v>18</v>
      </c>
      <c r="AI297">
        <v>20</v>
      </c>
      <c r="AJ297">
        <v>1</v>
      </c>
      <c r="AK297">
        <v>12</v>
      </c>
      <c r="AL297" t="s">
        <v>88</v>
      </c>
      <c r="AM297" t="s">
        <v>5051</v>
      </c>
      <c r="AN297" t="s">
        <v>5052</v>
      </c>
      <c r="AO297" t="s">
        <v>5094</v>
      </c>
      <c r="AP297" t="s">
        <v>74</v>
      </c>
      <c r="AQ297" t="s">
        <v>74</v>
      </c>
      <c r="AR297" t="s">
        <v>5095</v>
      </c>
      <c r="AS297" t="s">
        <v>5096</v>
      </c>
      <c r="AT297" t="s">
        <v>74</v>
      </c>
      <c r="AU297">
        <v>2008</v>
      </c>
      <c r="AV297">
        <v>127</v>
      </c>
      <c r="AW297">
        <v>4</v>
      </c>
      <c r="AX297" t="s">
        <v>74</v>
      </c>
      <c r="AY297" t="s">
        <v>74</v>
      </c>
      <c r="AZ297" t="s">
        <v>74</v>
      </c>
      <c r="BA297" t="s">
        <v>74</v>
      </c>
      <c r="BB297">
        <v>460</v>
      </c>
      <c r="BC297">
        <v>469</v>
      </c>
      <c r="BD297" t="s">
        <v>74</v>
      </c>
      <c r="BE297" t="s">
        <v>5097</v>
      </c>
      <c r="BF297" t="str">
        <f>HYPERLINK("http://dx.doi.org/10.1111/j.1744-7410.2008.00134.x","http://dx.doi.org/10.1111/j.1744-7410.2008.00134.x")</f>
        <v>http://dx.doi.org/10.1111/j.1744-7410.2008.00134.x</v>
      </c>
      <c r="BG297" t="s">
        <v>74</v>
      </c>
      <c r="BH297" t="s">
        <v>74</v>
      </c>
      <c r="BI297">
        <v>10</v>
      </c>
      <c r="BJ297" t="s">
        <v>5098</v>
      </c>
      <c r="BK297" t="s">
        <v>97</v>
      </c>
      <c r="BL297" t="s">
        <v>5098</v>
      </c>
      <c r="BM297" t="s">
        <v>5099</v>
      </c>
      <c r="BN297" t="s">
        <v>74</v>
      </c>
      <c r="BO297" t="s">
        <v>74</v>
      </c>
      <c r="BP297" t="s">
        <v>74</v>
      </c>
      <c r="BQ297" t="s">
        <v>74</v>
      </c>
      <c r="BR297" t="s">
        <v>100</v>
      </c>
      <c r="BS297" t="s">
        <v>5100</v>
      </c>
      <c r="BT297" t="str">
        <f>HYPERLINK("https%3A%2F%2Fwww.webofscience.com%2Fwos%2Fwoscc%2Ffull-record%2FWOS:000261528900011","View Full Record in Web of Science")</f>
        <v>View Full Record in Web of Science</v>
      </c>
    </row>
    <row r="298" spans="1:72" x14ac:dyDescent="0.15">
      <c r="A298" t="s">
        <v>816</v>
      </c>
      <c r="B298" t="s">
        <v>5101</v>
      </c>
      <c r="C298" t="s">
        <v>74</v>
      </c>
      <c r="D298" t="s">
        <v>74</v>
      </c>
      <c r="E298" t="s">
        <v>5102</v>
      </c>
      <c r="F298" t="s">
        <v>5103</v>
      </c>
      <c r="G298" t="s">
        <v>74</v>
      </c>
      <c r="H298" t="s">
        <v>74</v>
      </c>
      <c r="I298" t="s">
        <v>5104</v>
      </c>
      <c r="J298" t="s">
        <v>5105</v>
      </c>
      <c r="K298" t="s">
        <v>74</v>
      </c>
      <c r="L298" t="s">
        <v>74</v>
      </c>
      <c r="M298" t="s">
        <v>78</v>
      </c>
      <c r="N298" t="s">
        <v>823</v>
      </c>
      <c r="O298" t="s">
        <v>5106</v>
      </c>
      <c r="P298" t="s">
        <v>5107</v>
      </c>
      <c r="Q298" t="s">
        <v>5108</v>
      </c>
      <c r="R298" t="s">
        <v>74</v>
      </c>
      <c r="S298" t="s">
        <v>5109</v>
      </c>
      <c r="T298" t="s">
        <v>5110</v>
      </c>
      <c r="U298" t="s">
        <v>5111</v>
      </c>
      <c r="V298" t="s">
        <v>5112</v>
      </c>
      <c r="W298" t="s">
        <v>5113</v>
      </c>
      <c r="X298" t="s">
        <v>5114</v>
      </c>
      <c r="Y298" t="s">
        <v>5115</v>
      </c>
      <c r="Z298" t="s">
        <v>74</v>
      </c>
      <c r="AA298" t="s">
        <v>74</v>
      </c>
      <c r="AB298" t="s">
        <v>74</v>
      </c>
      <c r="AC298" t="s">
        <v>74</v>
      </c>
      <c r="AD298" t="s">
        <v>74</v>
      </c>
      <c r="AE298" t="s">
        <v>74</v>
      </c>
      <c r="AF298" t="s">
        <v>74</v>
      </c>
      <c r="AG298">
        <v>13</v>
      </c>
      <c r="AH298">
        <v>0</v>
      </c>
      <c r="AI298">
        <v>0</v>
      </c>
      <c r="AJ298">
        <v>0</v>
      </c>
      <c r="AK298">
        <v>5</v>
      </c>
      <c r="AL298" t="s">
        <v>5116</v>
      </c>
      <c r="AM298" t="s">
        <v>2939</v>
      </c>
      <c r="AN298" t="s">
        <v>5117</v>
      </c>
      <c r="AO298" t="s">
        <v>74</v>
      </c>
      <c r="AP298" t="s">
        <v>74</v>
      </c>
      <c r="AQ298" t="s">
        <v>5118</v>
      </c>
      <c r="AR298" t="s">
        <v>74</v>
      </c>
      <c r="AS298" t="s">
        <v>74</v>
      </c>
      <c r="AT298" t="s">
        <v>74</v>
      </c>
      <c r="AU298">
        <v>2008</v>
      </c>
      <c r="AV298" t="s">
        <v>74</v>
      </c>
      <c r="AW298" t="s">
        <v>74</v>
      </c>
      <c r="AX298" t="s">
        <v>74</v>
      </c>
      <c r="AY298" t="s">
        <v>74</v>
      </c>
      <c r="AZ298" t="s">
        <v>74</v>
      </c>
      <c r="BA298" t="s">
        <v>74</v>
      </c>
      <c r="BB298">
        <v>566</v>
      </c>
      <c r="BC298">
        <v>571</v>
      </c>
      <c r="BD298" t="s">
        <v>74</v>
      </c>
      <c r="BE298" t="s">
        <v>74</v>
      </c>
      <c r="BF298" t="s">
        <v>74</v>
      </c>
      <c r="BG298" t="s">
        <v>74</v>
      </c>
      <c r="BH298" t="s">
        <v>74</v>
      </c>
      <c r="BI298">
        <v>6</v>
      </c>
      <c r="BJ298" t="s">
        <v>5119</v>
      </c>
      <c r="BK298" t="s">
        <v>842</v>
      </c>
      <c r="BL298" t="s">
        <v>5120</v>
      </c>
      <c r="BM298" t="s">
        <v>5121</v>
      </c>
      <c r="BN298" t="s">
        <v>74</v>
      </c>
      <c r="BO298" t="s">
        <v>74</v>
      </c>
      <c r="BP298" t="s">
        <v>74</v>
      </c>
      <c r="BQ298" t="s">
        <v>74</v>
      </c>
      <c r="BR298" t="s">
        <v>100</v>
      </c>
      <c r="BS298" t="s">
        <v>5122</v>
      </c>
      <c r="BT298" t="str">
        <f>HYPERLINK("https%3A%2F%2Fwww.webofscience.com%2Fwos%2Fwoscc%2Ffull-record%2FWOS:000260457000093","View Full Record in Web of Science")</f>
        <v>View Full Record in Web of Science</v>
      </c>
    </row>
    <row r="299" spans="1:72" x14ac:dyDescent="0.15">
      <c r="A299" t="s">
        <v>72</v>
      </c>
      <c r="B299" t="s">
        <v>5123</v>
      </c>
      <c r="C299" t="s">
        <v>74</v>
      </c>
      <c r="D299" t="s">
        <v>74</v>
      </c>
      <c r="E299" t="s">
        <v>74</v>
      </c>
      <c r="F299" t="s">
        <v>5124</v>
      </c>
      <c r="G299" t="s">
        <v>74</v>
      </c>
      <c r="H299" t="s">
        <v>74</v>
      </c>
      <c r="I299" t="s">
        <v>5125</v>
      </c>
      <c r="J299" t="s">
        <v>5126</v>
      </c>
      <c r="K299" t="s">
        <v>74</v>
      </c>
      <c r="L299" t="s">
        <v>74</v>
      </c>
      <c r="M299" t="s">
        <v>78</v>
      </c>
      <c r="N299" t="s">
        <v>106</v>
      </c>
      <c r="O299" t="s">
        <v>74</v>
      </c>
      <c r="P299" t="s">
        <v>74</v>
      </c>
      <c r="Q299" t="s">
        <v>74</v>
      </c>
      <c r="R299" t="s">
        <v>74</v>
      </c>
      <c r="S299" t="s">
        <v>74</v>
      </c>
      <c r="T299" t="s">
        <v>5127</v>
      </c>
      <c r="U299" t="s">
        <v>5128</v>
      </c>
      <c r="V299" t="s">
        <v>5129</v>
      </c>
      <c r="W299" t="s">
        <v>5130</v>
      </c>
      <c r="X299" t="s">
        <v>5131</v>
      </c>
      <c r="Y299" t="s">
        <v>5132</v>
      </c>
      <c r="Z299" t="s">
        <v>5133</v>
      </c>
      <c r="AA299" t="s">
        <v>5134</v>
      </c>
      <c r="AB299" t="s">
        <v>5135</v>
      </c>
      <c r="AC299" t="s">
        <v>74</v>
      </c>
      <c r="AD299" t="s">
        <v>74</v>
      </c>
      <c r="AE299" t="s">
        <v>74</v>
      </c>
      <c r="AF299" t="s">
        <v>74</v>
      </c>
      <c r="AG299">
        <v>38</v>
      </c>
      <c r="AH299">
        <v>11</v>
      </c>
      <c r="AI299">
        <v>12</v>
      </c>
      <c r="AJ299">
        <v>3</v>
      </c>
      <c r="AK299">
        <v>55</v>
      </c>
      <c r="AL299" t="s">
        <v>88</v>
      </c>
      <c r="AM299" t="s">
        <v>5051</v>
      </c>
      <c r="AN299" t="s">
        <v>5052</v>
      </c>
      <c r="AO299" t="s">
        <v>5136</v>
      </c>
      <c r="AP299" t="s">
        <v>74</v>
      </c>
      <c r="AQ299" t="s">
        <v>74</v>
      </c>
      <c r="AR299" t="s">
        <v>5126</v>
      </c>
      <c r="AS299" t="s">
        <v>5137</v>
      </c>
      <c r="AT299" t="s">
        <v>1490</v>
      </c>
      <c r="AU299">
        <v>2008</v>
      </c>
      <c r="AV299">
        <v>60</v>
      </c>
      <c r="AW299">
        <v>1</v>
      </c>
      <c r="AX299" t="s">
        <v>74</v>
      </c>
      <c r="AY299" t="s">
        <v>74</v>
      </c>
      <c r="AZ299" t="s">
        <v>74</v>
      </c>
      <c r="BA299" t="s">
        <v>74</v>
      </c>
      <c r="BB299">
        <v>29</v>
      </c>
      <c r="BC299">
        <v>40</v>
      </c>
      <c r="BD299" t="s">
        <v>74</v>
      </c>
      <c r="BE299" t="s">
        <v>5138</v>
      </c>
      <c r="BF299" t="str">
        <f>HYPERLINK("http://dx.doi.org/10.1002/iub.1","http://dx.doi.org/10.1002/iub.1")</f>
        <v>http://dx.doi.org/10.1002/iub.1</v>
      </c>
      <c r="BG299" t="s">
        <v>74</v>
      </c>
      <c r="BH299" t="s">
        <v>74</v>
      </c>
      <c r="BI299">
        <v>12</v>
      </c>
      <c r="BJ299" t="s">
        <v>5139</v>
      </c>
      <c r="BK299" t="s">
        <v>97</v>
      </c>
      <c r="BL299" t="s">
        <v>5139</v>
      </c>
      <c r="BM299" t="s">
        <v>5140</v>
      </c>
      <c r="BN299">
        <v>18379990</v>
      </c>
      <c r="BO299" t="s">
        <v>179</v>
      </c>
      <c r="BP299" t="s">
        <v>74</v>
      </c>
      <c r="BQ299" t="s">
        <v>74</v>
      </c>
      <c r="BR299" t="s">
        <v>100</v>
      </c>
      <c r="BS299" t="s">
        <v>5141</v>
      </c>
      <c r="BT299" t="str">
        <f>HYPERLINK("https%3A%2F%2Fwww.webofscience.com%2Fwos%2Fwoscc%2Ffull-record%2FWOS:000252522000005","View Full Record in Web of Science")</f>
        <v>View Full Record in Web of Science</v>
      </c>
    </row>
    <row r="300" spans="1:72" x14ac:dyDescent="0.15">
      <c r="A300" t="s">
        <v>72</v>
      </c>
      <c r="B300" t="s">
        <v>5142</v>
      </c>
      <c r="C300" t="s">
        <v>74</v>
      </c>
      <c r="D300" t="s">
        <v>74</v>
      </c>
      <c r="E300" t="s">
        <v>74</v>
      </c>
      <c r="F300" t="s">
        <v>5143</v>
      </c>
      <c r="G300" t="s">
        <v>74</v>
      </c>
      <c r="H300" t="s">
        <v>74</v>
      </c>
      <c r="I300" t="s">
        <v>5144</v>
      </c>
      <c r="J300" t="s">
        <v>5145</v>
      </c>
      <c r="K300" t="s">
        <v>74</v>
      </c>
      <c r="L300" t="s">
        <v>74</v>
      </c>
      <c r="M300" t="s">
        <v>78</v>
      </c>
      <c r="N300" t="s">
        <v>79</v>
      </c>
      <c r="O300" t="s">
        <v>74</v>
      </c>
      <c r="P300" t="s">
        <v>74</v>
      </c>
      <c r="Q300" t="s">
        <v>74</v>
      </c>
      <c r="R300" t="s">
        <v>74</v>
      </c>
      <c r="S300" t="s">
        <v>74</v>
      </c>
      <c r="T300" t="s">
        <v>5146</v>
      </c>
      <c r="U300" t="s">
        <v>5147</v>
      </c>
      <c r="V300" t="s">
        <v>5148</v>
      </c>
      <c r="W300" t="s">
        <v>5149</v>
      </c>
      <c r="X300" t="s">
        <v>5150</v>
      </c>
      <c r="Y300" t="s">
        <v>5151</v>
      </c>
      <c r="Z300" t="s">
        <v>5152</v>
      </c>
      <c r="AA300" t="s">
        <v>74</v>
      </c>
      <c r="AB300" t="s">
        <v>74</v>
      </c>
      <c r="AC300" t="s">
        <v>5153</v>
      </c>
      <c r="AD300" t="s">
        <v>5154</v>
      </c>
      <c r="AE300" t="s">
        <v>5155</v>
      </c>
      <c r="AF300" t="s">
        <v>74</v>
      </c>
      <c r="AG300">
        <v>28</v>
      </c>
      <c r="AH300">
        <v>2</v>
      </c>
      <c r="AI300">
        <v>2</v>
      </c>
      <c r="AJ300">
        <v>0</v>
      </c>
      <c r="AK300">
        <v>4</v>
      </c>
      <c r="AL300" t="s">
        <v>5156</v>
      </c>
      <c r="AM300" t="s">
        <v>1355</v>
      </c>
      <c r="AN300" t="s">
        <v>5157</v>
      </c>
      <c r="AO300" t="s">
        <v>5158</v>
      </c>
      <c r="AP300" t="s">
        <v>74</v>
      </c>
      <c r="AQ300" t="s">
        <v>74</v>
      </c>
      <c r="AR300" t="s">
        <v>5159</v>
      </c>
      <c r="AS300" t="s">
        <v>5160</v>
      </c>
      <c r="AT300" t="s">
        <v>74</v>
      </c>
      <c r="AU300">
        <v>2008</v>
      </c>
      <c r="AV300">
        <v>2</v>
      </c>
      <c r="AW300" t="s">
        <v>74</v>
      </c>
      <c r="AX300" t="s">
        <v>74</v>
      </c>
      <c r="AY300" t="s">
        <v>74</v>
      </c>
      <c r="AZ300" t="s">
        <v>74</v>
      </c>
      <c r="BA300" t="s">
        <v>74</v>
      </c>
      <c r="BB300" t="s">
        <v>74</v>
      </c>
      <c r="BC300" t="s">
        <v>74</v>
      </c>
      <c r="BD300">
        <v>23509</v>
      </c>
      <c r="BE300" t="s">
        <v>5161</v>
      </c>
      <c r="BF300" t="str">
        <f>HYPERLINK("http://dx.doi.org/10.1117/1.2902319","http://dx.doi.org/10.1117/1.2902319")</f>
        <v>http://dx.doi.org/10.1117/1.2902319</v>
      </c>
      <c r="BG300" t="s">
        <v>74</v>
      </c>
      <c r="BH300" t="s">
        <v>74</v>
      </c>
      <c r="BI300">
        <v>13</v>
      </c>
      <c r="BJ300" t="s">
        <v>5162</v>
      </c>
      <c r="BK300" t="s">
        <v>97</v>
      </c>
      <c r="BL300" t="s">
        <v>5163</v>
      </c>
      <c r="BM300" t="s">
        <v>5164</v>
      </c>
      <c r="BN300" t="s">
        <v>74</v>
      </c>
      <c r="BO300" t="s">
        <v>74</v>
      </c>
      <c r="BP300" t="s">
        <v>74</v>
      </c>
      <c r="BQ300" t="s">
        <v>74</v>
      </c>
      <c r="BR300" t="s">
        <v>100</v>
      </c>
      <c r="BS300" t="s">
        <v>5165</v>
      </c>
      <c r="BT300" t="str">
        <f>HYPERLINK("https%3A%2F%2Fwww.webofscience.com%2Fwos%2Fwoscc%2Ffull-record%2FWOS:000264046200015","View Full Record in Web of Science")</f>
        <v>View Full Record in Web of Science</v>
      </c>
    </row>
    <row r="301" spans="1:72" x14ac:dyDescent="0.15">
      <c r="A301" t="s">
        <v>72</v>
      </c>
      <c r="B301" t="s">
        <v>5166</v>
      </c>
      <c r="C301" t="s">
        <v>74</v>
      </c>
      <c r="D301" t="s">
        <v>74</v>
      </c>
      <c r="E301" t="s">
        <v>74</v>
      </c>
      <c r="F301" t="s">
        <v>5167</v>
      </c>
      <c r="G301" t="s">
        <v>74</v>
      </c>
      <c r="H301" t="s">
        <v>74</v>
      </c>
      <c r="I301" t="s">
        <v>5168</v>
      </c>
      <c r="J301" t="s">
        <v>5145</v>
      </c>
      <c r="K301" t="s">
        <v>74</v>
      </c>
      <c r="L301" t="s">
        <v>74</v>
      </c>
      <c r="M301" t="s">
        <v>78</v>
      </c>
      <c r="N301" t="s">
        <v>79</v>
      </c>
      <c r="O301" t="s">
        <v>74</v>
      </c>
      <c r="P301" t="s">
        <v>74</v>
      </c>
      <c r="Q301" t="s">
        <v>74</v>
      </c>
      <c r="R301" t="s">
        <v>74</v>
      </c>
      <c r="S301" t="s">
        <v>74</v>
      </c>
      <c r="T301" t="s">
        <v>5169</v>
      </c>
      <c r="U301" t="s">
        <v>5170</v>
      </c>
      <c r="V301" t="s">
        <v>5171</v>
      </c>
      <c r="W301" t="s">
        <v>5172</v>
      </c>
      <c r="X301" t="s">
        <v>5173</v>
      </c>
      <c r="Y301" t="s">
        <v>5174</v>
      </c>
      <c r="Z301" t="s">
        <v>74</v>
      </c>
      <c r="AA301" t="s">
        <v>5175</v>
      </c>
      <c r="AB301" t="s">
        <v>5176</v>
      </c>
      <c r="AC301" t="s">
        <v>5177</v>
      </c>
      <c r="AD301" t="s">
        <v>5178</v>
      </c>
      <c r="AE301" t="s">
        <v>5179</v>
      </c>
      <c r="AF301" t="s">
        <v>74</v>
      </c>
      <c r="AG301">
        <v>40</v>
      </c>
      <c r="AH301">
        <v>6</v>
      </c>
      <c r="AI301">
        <v>6</v>
      </c>
      <c r="AJ301">
        <v>0</v>
      </c>
      <c r="AK301">
        <v>3</v>
      </c>
      <c r="AL301" t="s">
        <v>5156</v>
      </c>
      <c r="AM301" t="s">
        <v>1355</v>
      </c>
      <c r="AN301" t="s">
        <v>5157</v>
      </c>
      <c r="AO301" t="s">
        <v>74</v>
      </c>
      <c r="AP301" t="s">
        <v>5158</v>
      </c>
      <c r="AQ301" t="s">
        <v>74</v>
      </c>
      <c r="AR301" t="s">
        <v>5159</v>
      </c>
      <c r="AS301" t="s">
        <v>5160</v>
      </c>
      <c r="AT301" t="s">
        <v>74</v>
      </c>
      <c r="AU301">
        <v>2008</v>
      </c>
      <c r="AV301">
        <v>2</v>
      </c>
      <c r="AW301" t="s">
        <v>74</v>
      </c>
      <c r="AX301" t="s">
        <v>74</v>
      </c>
      <c r="AY301" t="s">
        <v>74</v>
      </c>
      <c r="AZ301" t="s">
        <v>74</v>
      </c>
      <c r="BA301" t="s">
        <v>74</v>
      </c>
      <c r="BB301" t="s">
        <v>74</v>
      </c>
      <c r="BC301" t="s">
        <v>74</v>
      </c>
      <c r="BD301">
        <v>23547</v>
      </c>
      <c r="BE301" t="s">
        <v>5180</v>
      </c>
      <c r="BF301" t="str">
        <f>HYPERLINK("http://dx.doi.org/10.1117/1.3040299","http://dx.doi.org/10.1117/1.3040299")</f>
        <v>http://dx.doi.org/10.1117/1.3040299</v>
      </c>
      <c r="BG301" t="s">
        <v>74</v>
      </c>
      <c r="BH301" t="s">
        <v>74</v>
      </c>
      <c r="BI301">
        <v>33</v>
      </c>
      <c r="BJ301" t="s">
        <v>5162</v>
      </c>
      <c r="BK301" t="s">
        <v>97</v>
      </c>
      <c r="BL301" t="s">
        <v>5163</v>
      </c>
      <c r="BM301" t="s">
        <v>5164</v>
      </c>
      <c r="BN301" t="s">
        <v>74</v>
      </c>
      <c r="BO301" t="s">
        <v>3777</v>
      </c>
      <c r="BP301" t="s">
        <v>74</v>
      </c>
      <c r="BQ301" t="s">
        <v>74</v>
      </c>
      <c r="BR301" t="s">
        <v>100</v>
      </c>
      <c r="BS301" t="s">
        <v>5181</v>
      </c>
      <c r="BT301" t="str">
        <f>HYPERLINK("https%3A%2F%2Fwww.webofscience.com%2Fwos%2Fwoscc%2Ffull-record%2FWOS:000264046200051","View Full Record in Web of Science")</f>
        <v>View Full Record in Web of Science</v>
      </c>
    </row>
    <row r="302" spans="1:72" x14ac:dyDescent="0.15">
      <c r="A302" t="s">
        <v>72</v>
      </c>
      <c r="B302" t="s">
        <v>5182</v>
      </c>
      <c r="C302" t="s">
        <v>74</v>
      </c>
      <c r="D302" t="s">
        <v>74</v>
      </c>
      <c r="E302" t="s">
        <v>74</v>
      </c>
      <c r="F302" t="s">
        <v>5183</v>
      </c>
      <c r="G302" t="s">
        <v>74</v>
      </c>
      <c r="H302" t="s">
        <v>74</v>
      </c>
      <c r="I302" t="s">
        <v>5184</v>
      </c>
      <c r="J302" t="s">
        <v>5145</v>
      </c>
      <c r="K302" t="s">
        <v>74</v>
      </c>
      <c r="L302" t="s">
        <v>74</v>
      </c>
      <c r="M302" t="s">
        <v>78</v>
      </c>
      <c r="N302" t="s">
        <v>79</v>
      </c>
      <c r="O302" t="s">
        <v>74</v>
      </c>
      <c r="P302" t="s">
        <v>74</v>
      </c>
      <c r="Q302" t="s">
        <v>74</v>
      </c>
      <c r="R302" t="s">
        <v>74</v>
      </c>
      <c r="S302" t="s">
        <v>74</v>
      </c>
      <c r="T302" t="s">
        <v>5185</v>
      </c>
      <c r="U302" t="s">
        <v>5186</v>
      </c>
      <c r="V302" t="s">
        <v>5187</v>
      </c>
      <c r="W302" t="s">
        <v>5188</v>
      </c>
      <c r="X302" t="s">
        <v>360</v>
      </c>
      <c r="Y302" t="s">
        <v>5189</v>
      </c>
      <c r="Z302" t="s">
        <v>5190</v>
      </c>
      <c r="AA302" t="s">
        <v>5191</v>
      </c>
      <c r="AB302" t="s">
        <v>5192</v>
      </c>
      <c r="AC302" t="s">
        <v>74</v>
      </c>
      <c r="AD302" t="s">
        <v>74</v>
      </c>
      <c r="AE302" t="s">
        <v>74</v>
      </c>
      <c r="AF302" t="s">
        <v>74</v>
      </c>
      <c r="AG302">
        <v>14</v>
      </c>
      <c r="AH302">
        <v>2</v>
      </c>
      <c r="AI302">
        <v>2</v>
      </c>
      <c r="AJ302">
        <v>0</v>
      </c>
      <c r="AK302">
        <v>6</v>
      </c>
      <c r="AL302" t="s">
        <v>5156</v>
      </c>
      <c r="AM302" t="s">
        <v>1355</v>
      </c>
      <c r="AN302" t="s">
        <v>5157</v>
      </c>
      <c r="AO302" t="s">
        <v>5158</v>
      </c>
      <c r="AP302" t="s">
        <v>74</v>
      </c>
      <c r="AQ302" t="s">
        <v>74</v>
      </c>
      <c r="AR302" t="s">
        <v>5159</v>
      </c>
      <c r="AS302" t="s">
        <v>5160</v>
      </c>
      <c r="AT302" t="s">
        <v>74</v>
      </c>
      <c r="AU302">
        <v>2008</v>
      </c>
      <c r="AV302">
        <v>2</v>
      </c>
      <c r="AW302" t="s">
        <v>74</v>
      </c>
      <c r="AX302" t="s">
        <v>74</v>
      </c>
      <c r="AY302" t="s">
        <v>74</v>
      </c>
      <c r="AZ302" t="s">
        <v>74</v>
      </c>
      <c r="BA302" t="s">
        <v>74</v>
      </c>
      <c r="BB302" t="s">
        <v>74</v>
      </c>
      <c r="BC302" t="s">
        <v>74</v>
      </c>
      <c r="BD302">
        <v>23546</v>
      </c>
      <c r="BE302" t="s">
        <v>5193</v>
      </c>
      <c r="BF302" t="str">
        <f>HYPERLINK("http://dx.doi.org/10.1117/1.3036940","http://dx.doi.org/10.1117/1.3036940")</f>
        <v>http://dx.doi.org/10.1117/1.3036940</v>
      </c>
      <c r="BG302" t="s">
        <v>74</v>
      </c>
      <c r="BH302" t="s">
        <v>74</v>
      </c>
      <c r="BI302">
        <v>15</v>
      </c>
      <c r="BJ302" t="s">
        <v>5162</v>
      </c>
      <c r="BK302" t="s">
        <v>97</v>
      </c>
      <c r="BL302" t="s">
        <v>5163</v>
      </c>
      <c r="BM302" t="s">
        <v>5164</v>
      </c>
      <c r="BN302" t="s">
        <v>74</v>
      </c>
      <c r="BO302" t="s">
        <v>74</v>
      </c>
      <c r="BP302" t="s">
        <v>74</v>
      </c>
      <c r="BQ302" t="s">
        <v>74</v>
      </c>
      <c r="BR302" t="s">
        <v>100</v>
      </c>
      <c r="BS302" t="s">
        <v>5194</v>
      </c>
      <c r="BT302" t="str">
        <f>HYPERLINK("https%3A%2F%2Fwww.webofscience.com%2Fwos%2Fwoscc%2Ffull-record%2FWOS:000264046200050","View Full Record in Web of Science")</f>
        <v>View Full Record in Web of Science</v>
      </c>
    </row>
    <row r="303" spans="1:72" x14ac:dyDescent="0.15">
      <c r="A303" t="s">
        <v>72</v>
      </c>
      <c r="B303" t="s">
        <v>5195</v>
      </c>
      <c r="C303" t="s">
        <v>74</v>
      </c>
      <c r="D303" t="s">
        <v>74</v>
      </c>
      <c r="E303" t="s">
        <v>74</v>
      </c>
      <c r="F303" t="s">
        <v>5196</v>
      </c>
      <c r="G303" t="s">
        <v>74</v>
      </c>
      <c r="H303" t="s">
        <v>74</v>
      </c>
      <c r="I303" t="s">
        <v>5197</v>
      </c>
      <c r="J303" t="s">
        <v>5198</v>
      </c>
      <c r="K303" t="s">
        <v>74</v>
      </c>
      <c r="L303" t="s">
        <v>74</v>
      </c>
      <c r="M303" t="s">
        <v>78</v>
      </c>
      <c r="N303" t="s">
        <v>79</v>
      </c>
      <c r="O303" t="s">
        <v>74</v>
      </c>
      <c r="P303" t="s">
        <v>74</v>
      </c>
      <c r="Q303" t="s">
        <v>74</v>
      </c>
      <c r="R303" t="s">
        <v>74</v>
      </c>
      <c r="S303" t="s">
        <v>74</v>
      </c>
      <c r="T303" t="s">
        <v>5199</v>
      </c>
      <c r="U303" t="s">
        <v>5200</v>
      </c>
      <c r="V303" t="s">
        <v>5201</v>
      </c>
      <c r="W303" t="s">
        <v>5202</v>
      </c>
      <c r="X303" t="s">
        <v>5203</v>
      </c>
      <c r="Y303" t="s">
        <v>5204</v>
      </c>
      <c r="Z303" t="s">
        <v>5205</v>
      </c>
      <c r="AA303" t="s">
        <v>5206</v>
      </c>
      <c r="AB303" t="s">
        <v>5207</v>
      </c>
      <c r="AC303" t="s">
        <v>74</v>
      </c>
      <c r="AD303" t="s">
        <v>74</v>
      </c>
      <c r="AE303" t="s">
        <v>74</v>
      </c>
      <c r="AF303" t="s">
        <v>74</v>
      </c>
      <c r="AG303">
        <v>14</v>
      </c>
      <c r="AH303">
        <v>14</v>
      </c>
      <c r="AI303">
        <v>18</v>
      </c>
      <c r="AJ303">
        <v>0</v>
      </c>
      <c r="AK303">
        <v>18</v>
      </c>
      <c r="AL303" t="s">
        <v>1331</v>
      </c>
      <c r="AM303" t="s">
        <v>1421</v>
      </c>
      <c r="AN303" t="s">
        <v>1422</v>
      </c>
      <c r="AO303" t="s">
        <v>5208</v>
      </c>
      <c r="AP303" t="s">
        <v>74</v>
      </c>
      <c r="AQ303" t="s">
        <v>74</v>
      </c>
      <c r="AR303" t="s">
        <v>5209</v>
      </c>
      <c r="AS303" t="s">
        <v>5210</v>
      </c>
      <c r="AT303" t="s">
        <v>74</v>
      </c>
      <c r="AU303">
        <v>2008</v>
      </c>
      <c r="AV303">
        <v>10</v>
      </c>
      <c r="AW303">
        <v>6</v>
      </c>
      <c r="AX303" t="s">
        <v>74</v>
      </c>
      <c r="AY303" t="s">
        <v>74</v>
      </c>
      <c r="AZ303" t="s">
        <v>74</v>
      </c>
      <c r="BA303" t="s">
        <v>74</v>
      </c>
      <c r="BB303">
        <v>521</v>
      </c>
      <c r="BC303">
        <v>529</v>
      </c>
      <c r="BD303" t="s">
        <v>74</v>
      </c>
      <c r="BE303" t="s">
        <v>5211</v>
      </c>
      <c r="BF303" t="str">
        <f>HYPERLINK("http://dx.doi.org/10.1080/10286020801966674","http://dx.doi.org/10.1080/10286020801966674")</f>
        <v>http://dx.doi.org/10.1080/10286020801966674</v>
      </c>
      <c r="BG303" t="s">
        <v>74</v>
      </c>
      <c r="BH303" t="s">
        <v>74</v>
      </c>
      <c r="BI303">
        <v>9</v>
      </c>
      <c r="BJ303" t="s">
        <v>5212</v>
      </c>
      <c r="BK303" t="s">
        <v>5213</v>
      </c>
      <c r="BL303" t="s">
        <v>5214</v>
      </c>
      <c r="BM303" t="s">
        <v>5215</v>
      </c>
      <c r="BN303">
        <v>18470804</v>
      </c>
      <c r="BO303" t="s">
        <v>74</v>
      </c>
      <c r="BP303" t="s">
        <v>74</v>
      </c>
      <c r="BQ303" t="s">
        <v>74</v>
      </c>
      <c r="BR303" t="s">
        <v>100</v>
      </c>
      <c r="BS303" t="s">
        <v>5216</v>
      </c>
      <c r="BT303" t="str">
        <f>HYPERLINK("https%3A%2F%2Fwww.webofscience.com%2Fwos%2Fwoscc%2Ffull-record%2FWOS:000257341400007","View Full Record in Web of Science")</f>
        <v>View Full Record in Web of Science</v>
      </c>
    </row>
    <row r="304" spans="1:72" x14ac:dyDescent="0.15">
      <c r="A304" t="s">
        <v>72</v>
      </c>
      <c r="B304" t="s">
        <v>5217</v>
      </c>
      <c r="C304" t="s">
        <v>74</v>
      </c>
      <c r="D304" t="s">
        <v>74</v>
      </c>
      <c r="E304" t="s">
        <v>74</v>
      </c>
      <c r="F304" t="s">
        <v>5218</v>
      </c>
      <c r="G304" t="s">
        <v>74</v>
      </c>
      <c r="H304" t="s">
        <v>5219</v>
      </c>
      <c r="I304" t="s">
        <v>5220</v>
      </c>
      <c r="J304" t="s">
        <v>5221</v>
      </c>
      <c r="K304" t="s">
        <v>74</v>
      </c>
      <c r="L304" t="s">
        <v>74</v>
      </c>
      <c r="M304" t="s">
        <v>78</v>
      </c>
      <c r="N304" t="s">
        <v>79</v>
      </c>
      <c r="O304" t="s">
        <v>74</v>
      </c>
      <c r="P304" t="s">
        <v>74</v>
      </c>
      <c r="Q304" t="s">
        <v>74</v>
      </c>
      <c r="R304" t="s">
        <v>74</v>
      </c>
      <c r="S304" t="s">
        <v>74</v>
      </c>
      <c r="T304" t="s">
        <v>5222</v>
      </c>
      <c r="U304" t="s">
        <v>74</v>
      </c>
      <c r="V304" t="s">
        <v>5223</v>
      </c>
      <c r="W304" t="s">
        <v>5224</v>
      </c>
      <c r="X304" t="s">
        <v>440</v>
      </c>
      <c r="Y304" t="s">
        <v>5225</v>
      </c>
      <c r="Z304" t="s">
        <v>5226</v>
      </c>
      <c r="AA304" t="s">
        <v>74</v>
      </c>
      <c r="AB304" t="s">
        <v>74</v>
      </c>
      <c r="AC304" t="s">
        <v>74</v>
      </c>
      <c r="AD304" t="s">
        <v>74</v>
      </c>
      <c r="AE304" t="s">
        <v>74</v>
      </c>
      <c r="AF304" t="s">
        <v>74</v>
      </c>
      <c r="AG304">
        <v>1</v>
      </c>
      <c r="AH304">
        <v>2</v>
      </c>
      <c r="AI304">
        <v>3</v>
      </c>
      <c r="AJ304">
        <v>0</v>
      </c>
      <c r="AK304">
        <v>6</v>
      </c>
      <c r="AL304" t="s">
        <v>5227</v>
      </c>
      <c r="AM304" t="s">
        <v>5228</v>
      </c>
      <c r="AN304" t="s">
        <v>5229</v>
      </c>
      <c r="AO304" t="s">
        <v>5230</v>
      </c>
      <c r="AP304" t="s">
        <v>74</v>
      </c>
      <c r="AQ304" t="s">
        <v>74</v>
      </c>
      <c r="AR304" t="s">
        <v>5231</v>
      </c>
      <c r="AS304" t="s">
        <v>5232</v>
      </c>
      <c r="AT304" t="s">
        <v>74</v>
      </c>
      <c r="AU304">
        <v>2008</v>
      </c>
      <c r="AV304">
        <v>9</v>
      </c>
      <c r="AW304" t="s">
        <v>74</v>
      </c>
      <c r="AX304" t="s">
        <v>74</v>
      </c>
      <c r="AY304" t="s">
        <v>74</v>
      </c>
      <c r="AZ304" t="s">
        <v>74</v>
      </c>
      <c r="BA304" t="s">
        <v>74</v>
      </c>
      <c r="BB304">
        <v>11</v>
      </c>
      <c r="BC304">
        <v>15</v>
      </c>
      <c r="BD304" t="s">
        <v>74</v>
      </c>
      <c r="BE304" t="s">
        <v>74</v>
      </c>
      <c r="BF304" t="s">
        <v>74</v>
      </c>
      <c r="BG304" t="s">
        <v>74</v>
      </c>
      <c r="BH304" t="s">
        <v>74</v>
      </c>
      <c r="BI304">
        <v>5</v>
      </c>
      <c r="BJ304" t="s">
        <v>4848</v>
      </c>
      <c r="BK304" t="s">
        <v>97</v>
      </c>
      <c r="BL304" t="s">
        <v>4849</v>
      </c>
      <c r="BM304" t="s">
        <v>5233</v>
      </c>
      <c r="BN304" t="s">
        <v>74</v>
      </c>
      <c r="BO304" t="s">
        <v>74</v>
      </c>
      <c r="BP304" t="s">
        <v>74</v>
      </c>
      <c r="BQ304" t="s">
        <v>74</v>
      </c>
      <c r="BR304" t="s">
        <v>100</v>
      </c>
      <c r="BS304" t="s">
        <v>5234</v>
      </c>
      <c r="BT304" t="str">
        <f>HYPERLINK("https%3A%2F%2Fwww.webofscience.com%2Fwos%2Fwoscc%2Ffull-record%2FWOS:000257896700002","View Full Record in Web of Science")</f>
        <v>View Full Record in Web of Science</v>
      </c>
    </row>
    <row r="305" spans="1:72" x14ac:dyDescent="0.15">
      <c r="A305" t="s">
        <v>72</v>
      </c>
      <c r="B305" t="s">
        <v>5235</v>
      </c>
      <c r="C305" t="s">
        <v>74</v>
      </c>
      <c r="D305" t="s">
        <v>74</v>
      </c>
      <c r="E305" t="s">
        <v>74</v>
      </c>
      <c r="F305" t="s">
        <v>5236</v>
      </c>
      <c r="G305" t="s">
        <v>74</v>
      </c>
      <c r="H305" t="s">
        <v>74</v>
      </c>
      <c r="I305" t="s">
        <v>5237</v>
      </c>
      <c r="J305" t="s">
        <v>574</v>
      </c>
      <c r="K305" t="s">
        <v>74</v>
      </c>
      <c r="L305" t="s">
        <v>74</v>
      </c>
      <c r="M305" t="s">
        <v>78</v>
      </c>
      <c r="N305" t="s">
        <v>79</v>
      </c>
      <c r="O305" t="s">
        <v>74</v>
      </c>
      <c r="P305" t="s">
        <v>74</v>
      </c>
      <c r="Q305" t="s">
        <v>74</v>
      </c>
      <c r="R305" t="s">
        <v>74</v>
      </c>
      <c r="S305" t="s">
        <v>74</v>
      </c>
      <c r="T305" t="s">
        <v>74</v>
      </c>
      <c r="U305" t="s">
        <v>5238</v>
      </c>
      <c r="V305" t="s">
        <v>5239</v>
      </c>
      <c r="W305" t="s">
        <v>5240</v>
      </c>
      <c r="X305" t="s">
        <v>5241</v>
      </c>
      <c r="Y305" t="s">
        <v>5242</v>
      </c>
      <c r="Z305" t="s">
        <v>5243</v>
      </c>
      <c r="AA305" t="s">
        <v>5244</v>
      </c>
      <c r="AB305" t="s">
        <v>5245</v>
      </c>
      <c r="AC305" t="s">
        <v>74</v>
      </c>
      <c r="AD305" t="s">
        <v>74</v>
      </c>
      <c r="AE305" t="s">
        <v>74</v>
      </c>
      <c r="AF305" t="s">
        <v>74</v>
      </c>
      <c r="AG305">
        <v>24</v>
      </c>
      <c r="AH305">
        <v>143</v>
      </c>
      <c r="AI305">
        <v>154</v>
      </c>
      <c r="AJ305">
        <v>1</v>
      </c>
      <c r="AK305">
        <v>21</v>
      </c>
      <c r="AL305" t="s">
        <v>583</v>
      </c>
      <c r="AM305" t="s">
        <v>584</v>
      </c>
      <c r="AN305" t="s">
        <v>585</v>
      </c>
      <c r="AO305" t="s">
        <v>586</v>
      </c>
      <c r="AP305" t="s">
        <v>74</v>
      </c>
      <c r="AQ305" t="s">
        <v>74</v>
      </c>
      <c r="AR305" t="s">
        <v>588</v>
      </c>
      <c r="AS305" t="s">
        <v>589</v>
      </c>
      <c r="AT305" t="s">
        <v>1490</v>
      </c>
      <c r="AU305">
        <v>2008</v>
      </c>
      <c r="AV305">
        <v>21</v>
      </c>
      <c r="AW305">
        <v>1</v>
      </c>
      <c r="AX305" t="s">
        <v>74</v>
      </c>
      <c r="AY305" t="s">
        <v>74</v>
      </c>
      <c r="AZ305" t="s">
        <v>74</v>
      </c>
      <c r="BA305" t="s">
        <v>74</v>
      </c>
      <c r="BB305">
        <v>40</v>
      </c>
      <c r="BC305">
        <v>57</v>
      </c>
      <c r="BD305" t="s">
        <v>74</v>
      </c>
      <c r="BE305" t="s">
        <v>5246</v>
      </c>
      <c r="BF305" t="str">
        <f>HYPERLINK("http://dx.doi.org/10.1175/2007JCLI1663.1","http://dx.doi.org/10.1175/2007JCLI1663.1")</f>
        <v>http://dx.doi.org/10.1175/2007JCLI1663.1</v>
      </c>
      <c r="BG305" t="s">
        <v>74</v>
      </c>
      <c r="BH305" t="s">
        <v>74</v>
      </c>
      <c r="BI305">
        <v>18</v>
      </c>
      <c r="BJ305" t="s">
        <v>204</v>
      </c>
      <c r="BK305" t="s">
        <v>97</v>
      </c>
      <c r="BL305" t="s">
        <v>204</v>
      </c>
      <c r="BM305" t="s">
        <v>5247</v>
      </c>
      <c r="BN305" t="s">
        <v>74</v>
      </c>
      <c r="BO305" t="s">
        <v>1838</v>
      </c>
      <c r="BP305" t="s">
        <v>74</v>
      </c>
      <c r="BQ305" t="s">
        <v>74</v>
      </c>
      <c r="BR305" t="s">
        <v>100</v>
      </c>
      <c r="BS305" t="s">
        <v>5248</v>
      </c>
      <c r="BT305" t="str">
        <f>HYPERLINK("https%3A%2F%2Fwww.webofscience.com%2Fwos%2Fwoscc%2Ffull-record%2FWOS:000252190600003","View Full Record in Web of Science")</f>
        <v>View Full Record in Web of Science</v>
      </c>
    </row>
    <row r="306" spans="1:72" x14ac:dyDescent="0.15">
      <c r="A306" t="s">
        <v>72</v>
      </c>
      <c r="B306" t="s">
        <v>5249</v>
      </c>
      <c r="C306" t="s">
        <v>74</v>
      </c>
      <c r="D306" t="s">
        <v>74</v>
      </c>
      <c r="E306" t="s">
        <v>74</v>
      </c>
      <c r="F306" t="s">
        <v>5250</v>
      </c>
      <c r="G306" t="s">
        <v>74</v>
      </c>
      <c r="H306" t="s">
        <v>74</v>
      </c>
      <c r="I306" t="s">
        <v>5251</v>
      </c>
      <c r="J306" t="s">
        <v>5252</v>
      </c>
      <c r="K306" t="s">
        <v>74</v>
      </c>
      <c r="L306" t="s">
        <v>74</v>
      </c>
      <c r="M306" t="s">
        <v>78</v>
      </c>
      <c r="N306" t="s">
        <v>79</v>
      </c>
      <c r="O306" t="s">
        <v>74</v>
      </c>
      <c r="P306" t="s">
        <v>74</v>
      </c>
      <c r="Q306" t="s">
        <v>74</v>
      </c>
      <c r="R306" t="s">
        <v>74</v>
      </c>
      <c r="S306" t="s">
        <v>74</v>
      </c>
      <c r="T306" t="s">
        <v>5253</v>
      </c>
      <c r="U306" t="s">
        <v>5254</v>
      </c>
      <c r="V306" t="s">
        <v>5255</v>
      </c>
      <c r="W306" t="s">
        <v>5256</v>
      </c>
      <c r="X306" t="s">
        <v>5257</v>
      </c>
      <c r="Y306" t="s">
        <v>5258</v>
      </c>
      <c r="Z306" t="s">
        <v>5259</v>
      </c>
      <c r="AA306" t="s">
        <v>5260</v>
      </c>
      <c r="AB306" t="s">
        <v>5261</v>
      </c>
      <c r="AC306" t="s">
        <v>74</v>
      </c>
      <c r="AD306" t="s">
        <v>74</v>
      </c>
      <c r="AE306" t="s">
        <v>74</v>
      </c>
      <c r="AF306" t="s">
        <v>74</v>
      </c>
      <c r="AG306">
        <v>52</v>
      </c>
      <c r="AH306">
        <v>38</v>
      </c>
      <c r="AI306">
        <v>44</v>
      </c>
      <c r="AJ306">
        <v>0</v>
      </c>
      <c r="AK306">
        <v>19</v>
      </c>
      <c r="AL306" t="s">
        <v>1240</v>
      </c>
      <c r="AM306" t="s">
        <v>1241</v>
      </c>
      <c r="AN306" t="s">
        <v>1242</v>
      </c>
      <c r="AO306" t="s">
        <v>5262</v>
      </c>
      <c r="AP306" t="s">
        <v>5263</v>
      </c>
      <c r="AQ306" t="s">
        <v>74</v>
      </c>
      <c r="AR306" t="s">
        <v>5264</v>
      </c>
      <c r="AS306" t="s">
        <v>5265</v>
      </c>
      <c r="AT306" t="s">
        <v>1490</v>
      </c>
      <c r="AU306">
        <v>2008</v>
      </c>
      <c r="AV306">
        <v>178</v>
      </c>
      <c r="AW306">
        <v>1</v>
      </c>
      <c r="AX306" t="s">
        <v>74</v>
      </c>
      <c r="AY306" t="s">
        <v>74</v>
      </c>
      <c r="AZ306" t="s">
        <v>74</v>
      </c>
      <c r="BA306" t="s">
        <v>74</v>
      </c>
      <c r="BB306">
        <v>93</v>
      </c>
      <c r="BC306">
        <v>100</v>
      </c>
      <c r="BD306" t="s">
        <v>74</v>
      </c>
      <c r="BE306" t="s">
        <v>5266</v>
      </c>
      <c r="BF306" t="str">
        <f>HYPERLINK("http://dx.doi.org/10.1007/s00360-007-0202-3","http://dx.doi.org/10.1007/s00360-007-0202-3")</f>
        <v>http://dx.doi.org/10.1007/s00360-007-0202-3</v>
      </c>
      <c r="BG306" t="s">
        <v>74</v>
      </c>
      <c r="BH306" t="s">
        <v>74</v>
      </c>
      <c r="BI306">
        <v>8</v>
      </c>
      <c r="BJ306" t="s">
        <v>5267</v>
      </c>
      <c r="BK306" t="s">
        <v>97</v>
      </c>
      <c r="BL306" t="s">
        <v>5267</v>
      </c>
      <c r="BM306" t="s">
        <v>5268</v>
      </c>
      <c r="BN306">
        <v>17712562</v>
      </c>
      <c r="BO306" t="s">
        <v>74</v>
      </c>
      <c r="BP306" t="s">
        <v>74</v>
      </c>
      <c r="BQ306" t="s">
        <v>74</v>
      </c>
      <c r="BR306" t="s">
        <v>100</v>
      </c>
      <c r="BS306" t="s">
        <v>5269</v>
      </c>
      <c r="BT306" t="str">
        <f>HYPERLINK("https%3A%2F%2Fwww.webofscience.com%2Fwos%2Fwoscc%2Ffull-record%2FWOS:000252359300010","View Full Record in Web of Science")</f>
        <v>View Full Record in Web of Science</v>
      </c>
    </row>
    <row r="307" spans="1:72" x14ac:dyDescent="0.15">
      <c r="A307" t="s">
        <v>72</v>
      </c>
      <c r="B307" t="s">
        <v>5270</v>
      </c>
      <c r="C307" t="s">
        <v>74</v>
      </c>
      <c r="D307" t="s">
        <v>74</v>
      </c>
      <c r="E307" t="s">
        <v>74</v>
      </c>
      <c r="F307" t="s">
        <v>5271</v>
      </c>
      <c r="G307" t="s">
        <v>74</v>
      </c>
      <c r="H307" t="s">
        <v>74</v>
      </c>
      <c r="I307" t="s">
        <v>5272</v>
      </c>
      <c r="J307" t="s">
        <v>5273</v>
      </c>
      <c r="K307" t="s">
        <v>74</v>
      </c>
      <c r="L307" t="s">
        <v>74</v>
      </c>
      <c r="M307" t="s">
        <v>78</v>
      </c>
      <c r="N307" t="s">
        <v>79</v>
      </c>
      <c r="O307" t="s">
        <v>74</v>
      </c>
      <c r="P307" t="s">
        <v>74</v>
      </c>
      <c r="Q307" t="s">
        <v>74</v>
      </c>
      <c r="R307" t="s">
        <v>74</v>
      </c>
      <c r="S307" t="s">
        <v>74</v>
      </c>
      <c r="T307" t="s">
        <v>5274</v>
      </c>
      <c r="U307" t="s">
        <v>74</v>
      </c>
      <c r="V307" t="s">
        <v>5275</v>
      </c>
      <c r="W307" t="s">
        <v>5276</v>
      </c>
      <c r="X307" t="s">
        <v>5277</v>
      </c>
      <c r="Y307" t="s">
        <v>5278</v>
      </c>
      <c r="Z307" t="s">
        <v>5279</v>
      </c>
      <c r="AA307" t="s">
        <v>5280</v>
      </c>
      <c r="AB307" t="s">
        <v>5281</v>
      </c>
      <c r="AC307" t="s">
        <v>74</v>
      </c>
      <c r="AD307" t="s">
        <v>74</v>
      </c>
      <c r="AE307" t="s">
        <v>74</v>
      </c>
      <c r="AF307" t="s">
        <v>74</v>
      </c>
      <c r="AG307">
        <v>52</v>
      </c>
      <c r="AH307">
        <v>7</v>
      </c>
      <c r="AI307">
        <v>8</v>
      </c>
      <c r="AJ307">
        <v>1</v>
      </c>
      <c r="AK307">
        <v>15</v>
      </c>
      <c r="AL307" t="s">
        <v>2678</v>
      </c>
      <c r="AM307" t="s">
        <v>522</v>
      </c>
      <c r="AN307" t="s">
        <v>4192</v>
      </c>
      <c r="AO307" t="s">
        <v>5282</v>
      </c>
      <c r="AP307" t="s">
        <v>5283</v>
      </c>
      <c r="AQ307" t="s">
        <v>74</v>
      </c>
      <c r="AR307" t="s">
        <v>5284</v>
      </c>
      <c r="AS307" t="s">
        <v>5285</v>
      </c>
      <c r="AT307" t="s">
        <v>74</v>
      </c>
      <c r="AU307">
        <v>2008</v>
      </c>
      <c r="AV307">
        <v>20</v>
      </c>
      <c r="AW307">
        <v>1</v>
      </c>
      <c r="AX307" t="s">
        <v>74</v>
      </c>
      <c r="AY307" t="s">
        <v>74</v>
      </c>
      <c r="AZ307" t="s">
        <v>74</v>
      </c>
      <c r="BA307" t="s">
        <v>74</v>
      </c>
      <c r="BB307">
        <v>15</v>
      </c>
      <c r="BC307">
        <v>33</v>
      </c>
      <c r="BD307" t="s">
        <v>74</v>
      </c>
      <c r="BE307" t="s">
        <v>5286</v>
      </c>
      <c r="BF307" t="str">
        <f>HYPERLINK("http://dx.doi.org/10.1093/jel/eqm024","http://dx.doi.org/10.1093/jel/eqm024")</f>
        <v>http://dx.doi.org/10.1093/jel/eqm024</v>
      </c>
      <c r="BG307" t="s">
        <v>74</v>
      </c>
      <c r="BH307" t="s">
        <v>74</v>
      </c>
      <c r="BI307">
        <v>19</v>
      </c>
      <c r="BJ307" t="s">
        <v>5287</v>
      </c>
      <c r="BK307" t="s">
        <v>669</v>
      </c>
      <c r="BL307" t="s">
        <v>5288</v>
      </c>
      <c r="BM307" t="s">
        <v>5289</v>
      </c>
      <c r="BN307" t="s">
        <v>74</v>
      </c>
      <c r="BO307" t="s">
        <v>74</v>
      </c>
      <c r="BP307" t="s">
        <v>74</v>
      </c>
      <c r="BQ307" t="s">
        <v>74</v>
      </c>
      <c r="BR307" t="s">
        <v>100</v>
      </c>
      <c r="BS307" t="s">
        <v>5290</v>
      </c>
      <c r="BT307" t="str">
        <f>HYPERLINK("https%3A%2F%2Fwww.webofscience.com%2Fwos%2Fwoscc%2Ffull-record%2FWOS:000207797800007","View Full Record in Web of Science")</f>
        <v>View Full Record in Web of Science</v>
      </c>
    </row>
    <row r="308" spans="1:72" x14ac:dyDescent="0.15">
      <c r="A308" t="s">
        <v>72</v>
      </c>
      <c r="B308" t="s">
        <v>5291</v>
      </c>
      <c r="C308" t="s">
        <v>74</v>
      </c>
      <c r="D308" t="s">
        <v>74</v>
      </c>
      <c r="E308" t="s">
        <v>74</v>
      </c>
      <c r="F308" t="s">
        <v>5292</v>
      </c>
      <c r="G308" t="s">
        <v>74</v>
      </c>
      <c r="H308" t="s">
        <v>74</v>
      </c>
      <c r="I308" t="s">
        <v>5293</v>
      </c>
      <c r="J308" t="s">
        <v>5294</v>
      </c>
      <c r="K308" t="s">
        <v>74</v>
      </c>
      <c r="L308" t="s">
        <v>74</v>
      </c>
      <c r="M308" t="s">
        <v>78</v>
      </c>
      <c r="N308" t="s">
        <v>79</v>
      </c>
      <c r="O308" t="s">
        <v>74</v>
      </c>
      <c r="P308" t="s">
        <v>74</v>
      </c>
      <c r="Q308" t="s">
        <v>74</v>
      </c>
      <c r="R308" t="s">
        <v>74</v>
      </c>
      <c r="S308" t="s">
        <v>74</v>
      </c>
      <c r="T308" t="s">
        <v>74</v>
      </c>
      <c r="U308" t="s">
        <v>5295</v>
      </c>
      <c r="V308" t="s">
        <v>5296</v>
      </c>
      <c r="W308" t="s">
        <v>5297</v>
      </c>
      <c r="X308" t="s">
        <v>5298</v>
      </c>
      <c r="Y308" t="s">
        <v>5299</v>
      </c>
      <c r="Z308" t="s">
        <v>5300</v>
      </c>
      <c r="AA308" t="s">
        <v>74</v>
      </c>
      <c r="AB308" t="s">
        <v>5301</v>
      </c>
      <c r="AC308" t="s">
        <v>74</v>
      </c>
      <c r="AD308" t="s">
        <v>74</v>
      </c>
      <c r="AE308" t="s">
        <v>74</v>
      </c>
      <c r="AF308" t="s">
        <v>74</v>
      </c>
      <c r="AG308">
        <v>32</v>
      </c>
      <c r="AH308">
        <v>21</v>
      </c>
      <c r="AI308">
        <v>30</v>
      </c>
      <c r="AJ308">
        <v>0</v>
      </c>
      <c r="AK308">
        <v>27</v>
      </c>
      <c r="AL308" t="s">
        <v>1466</v>
      </c>
      <c r="AM308" t="s">
        <v>1467</v>
      </c>
      <c r="AN308" t="s">
        <v>1468</v>
      </c>
      <c r="AO308" t="s">
        <v>5302</v>
      </c>
      <c r="AP308" t="s">
        <v>5303</v>
      </c>
      <c r="AQ308" t="s">
        <v>74</v>
      </c>
      <c r="AR308" t="s">
        <v>5304</v>
      </c>
      <c r="AS308" t="s">
        <v>5305</v>
      </c>
      <c r="AT308" t="s">
        <v>1490</v>
      </c>
      <c r="AU308">
        <v>2008</v>
      </c>
      <c r="AV308">
        <v>10</v>
      </c>
      <c r="AW308">
        <v>1</v>
      </c>
      <c r="AX308" t="s">
        <v>74</v>
      </c>
      <c r="AY308" t="s">
        <v>74</v>
      </c>
      <c r="AZ308" t="s">
        <v>74</v>
      </c>
      <c r="BA308" t="s">
        <v>74</v>
      </c>
      <c r="BB308">
        <v>60</v>
      </c>
      <c r="BC308">
        <v>70</v>
      </c>
      <c r="BD308" t="s">
        <v>74</v>
      </c>
      <c r="BE308" t="s">
        <v>5306</v>
      </c>
      <c r="BF308" t="str">
        <f>HYPERLINK("http://dx.doi.org/10.1039/b712631j","http://dx.doi.org/10.1039/b712631j")</f>
        <v>http://dx.doi.org/10.1039/b712631j</v>
      </c>
      <c r="BG308" t="s">
        <v>74</v>
      </c>
      <c r="BH308" t="s">
        <v>74</v>
      </c>
      <c r="BI308">
        <v>11</v>
      </c>
      <c r="BJ308" t="s">
        <v>4025</v>
      </c>
      <c r="BK308" t="s">
        <v>97</v>
      </c>
      <c r="BL308" t="s">
        <v>4026</v>
      </c>
      <c r="BM308" t="s">
        <v>5307</v>
      </c>
      <c r="BN308">
        <v>18175018</v>
      </c>
      <c r="BO308" t="s">
        <v>74</v>
      </c>
      <c r="BP308" t="s">
        <v>74</v>
      </c>
      <c r="BQ308" t="s">
        <v>74</v>
      </c>
      <c r="BR308" t="s">
        <v>100</v>
      </c>
      <c r="BS308" t="s">
        <v>5308</v>
      </c>
      <c r="BT308" t="str">
        <f>HYPERLINK("https%3A%2F%2Fwww.webofscience.com%2Fwos%2Fwoscc%2Ffull-record%2FWOS:000253164600007","View Full Record in Web of Science")</f>
        <v>View Full Record in Web of Science</v>
      </c>
    </row>
    <row r="309" spans="1:72" x14ac:dyDescent="0.15">
      <c r="A309" t="s">
        <v>72</v>
      </c>
      <c r="B309" t="s">
        <v>5309</v>
      </c>
      <c r="C309" t="s">
        <v>74</v>
      </c>
      <c r="D309" t="s">
        <v>74</v>
      </c>
      <c r="E309" t="s">
        <v>74</v>
      </c>
      <c r="F309" t="s">
        <v>5310</v>
      </c>
      <c r="G309" t="s">
        <v>74</v>
      </c>
      <c r="H309" t="s">
        <v>74</v>
      </c>
      <c r="I309" t="s">
        <v>5311</v>
      </c>
      <c r="J309" t="s">
        <v>5312</v>
      </c>
      <c r="K309" t="s">
        <v>74</v>
      </c>
      <c r="L309" t="s">
        <v>74</v>
      </c>
      <c r="M309" t="s">
        <v>78</v>
      </c>
      <c r="N309" t="s">
        <v>79</v>
      </c>
      <c r="O309" t="s">
        <v>74</v>
      </c>
      <c r="P309" t="s">
        <v>74</v>
      </c>
      <c r="Q309" t="s">
        <v>74</v>
      </c>
      <c r="R309" t="s">
        <v>74</v>
      </c>
      <c r="S309" t="s">
        <v>74</v>
      </c>
      <c r="T309" t="s">
        <v>5313</v>
      </c>
      <c r="U309" t="s">
        <v>5314</v>
      </c>
      <c r="V309" t="s">
        <v>5315</v>
      </c>
      <c r="W309" t="s">
        <v>5316</v>
      </c>
      <c r="X309" t="s">
        <v>5317</v>
      </c>
      <c r="Y309" t="s">
        <v>5318</v>
      </c>
      <c r="Z309" t="s">
        <v>5319</v>
      </c>
      <c r="AA309" t="s">
        <v>74</v>
      </c>
      <c r="AB309" t="s">
        <v>74</v>
      </c>
      <c r="AC309" t="s">
        <v>74</v>
      </c>
      <c r="AD309" t="s">
        <v>74</v>
      </c>
      <c r="AE309" t="s">
        <v>74</v>
      </c>
      <c r="AF309" t="s">
        <v>74</v>
      </c>
      <c r="AG309">
        <v>83</v>
      </c>
      <c r="AH309">
        <v>23</v>
      </c>
      <c r="AI309">
        <v>23</v>
      </c>
      <c r="AJ309">
        <v>2</v>
      </c>
      <c r="AK309">
        <v>34</v>
      </c>
      <c r="AL309" t="s">
        <v>1219</v>
      </c>
      <c r="AM309" t="s">
        <v>89</v>
      </c>
      <c r="AN309" t="s">
        <v>90</v>
      </c>
      <c r="AO309" t="s">
        <v>5320</v>
      </c>
      <c r="AP309" t="s">
        <v>5321</v>
      </c>
      <c r="AQ309" t="s">
        <v>74</v>
      </c>
      <c r="AR309" t="s">
        <v>5322</v>
      </c>
      <c r="AS309" t="s">
        <v>5323</v>
      </c>
      <c r="AT309" t="s">
        <v>1490</v>
      </c>
      <c r="AU309">
        <v>2008</v>
      </c>
      <c r="AV309">
        <v>21</v>
      </c>
      <c r="AW309">
        <v>1</v>
      </c>
      <c r="AX309" t="s">
        <v>74</v>
      </c>
      <c r="AY309" t="s">
        <v>74</v>
      </c>
      <c r="AZ309" t="s">
        <v>74</v>
      </c>
      <c r="BA309" t="s">
        <v>74</v>
      </c>
      <c r="BB309">
        <v>67</v>
      </c>
      <c r="BC309">
        <v>76</v>
      </c>
      <c r="BD309" t="s">
        <v>74</v>
      </c>
      <c r="BE309" t="s">
        <v>5324</v>
      </c>
      <c r="BF309" t="str">
        <f>HYPERLINK("http://dx.doi.org/10.1111/j.1420-9101.2007.01465.x","http://dx.doi.org/10.1111/j.1420-9101.2007.01465.x")</f>
        <v>http://dx.doi.org/10.1111/j.1420-9101.2007.01465.x</v>
      </c>
      <c r="BG309" t="s">
        <v>74</v>
      </c>
      <c r="BH309" t="s">
        <v>74</v>
      </c>
      <c r="BI309">
        <v>10</v>
      </c>
      <c r="BJ309" t="s">
        <v>125</v>
      </c>
      <c r="BK309" t="s">
        <v>97</v>
      </c>
      <c r="BL309" t="s">
        <v>126</v>
      </c>
      <c r="BM309" t="s">
        <v>5325</v>
      </c>
      <c r="BN309">
        <v>18021198</v>
      </c>
      <c r="BO309" t="s">
        <v>74</v>
      </c>
      <c r="BP309" t="s">
        <v>74</v>
      </c>
      <c r="BQ309" t="s">
        <v>74</v>
      </c>
      <c r="BR309" t="s">
        <v>100</v>
      </c>
      <c r="BS309" t="s">
        <v>5326</v>
      </c>
      <c r="BT309" t="str">
        <f>HYPERLINK("https%3A%2F%2Fwww.webofscience.com%2Fwos%2Fwoscc%2Ffull-record%2FWOS:000251765600007","View Full Record in Web of Science")</f>
        <v>View Full Record in Web of Science</v>
      </c>
    </row>
    <row r="310" spans="1:72" x14ac:dyDescent="0.15">
      <c r="A310" t="s">
        <v>72</v>
      </c>
      <c r="B310" t="s">
        <v>5327</v>
      </c>
      <c r="C310" t="s">
        <v>74</v>
      </c>
      <c r="D310" t="s">
        <v>74</v>
      </c>
      <c r="E310" t="s">
        <v>74</v>
      </c>
      <c r="F310" t="s">
        <v>5328</v>
      </c>
      <c r="G310" t="s">
        <v>74</v>
      </c>
      <c r="H310" t="s">
        <v>74</v>
      </c>
      <c r="I310" t="s">
        <v>5329</v>
      </c>
      <c r="J310" t="s">
        <v>5330</v>
      </c>
      <c r="K310" t="s">
        <v>74</v>
      </c>
      <c r="L310" t="s">
        <v>74</v>
      </c>
      <c r="M310" t="s">
        <v>78</v>
      </c>
      <c r="N310" t="s">
        <v>79</v>
      </c>
      <c r="O310" t="s">
        <v>74</v>
      </c>
      <c r="P310" t="s">
        <v>74</v>
      </c>
      <c r="Q310" t="s">
        <v>74</v>
      </c>
      <c r="R310" t="s">
        <v>74</v>
      </c>
      <c r="S310" t="s">
        <v>74</v>
      </c>
      <c r="T310" t="s">
        <v>5331</v>
      </c>
      <c r="U310" t="s">
        <v>5332</v>
      </c>
      <c r="V310" t="s">
        <v>5333</v>
      </c>
      <c r="W310" t="s">
        <v>5334</v>
      </c>
      <c r="X310" t="s">
        <v>5335</v>
      </c>
      <c r="Y310" t="s">
        <v>5336</v>
      </c>
      <c r="Z310" t="s">
        <v>5337</v>
      </c>
      <c r="AA310" t="s">
        <v>5338</v>
      </c>
      <c r="AB310" t="s">
        <v>5339</v>
      </c>
      <c r="AC310" t="s">
        <v>5340</v>
      </c>
      <c r="AD310" t="s">
        <v>444</v>
      </c>
      <c r="AE310" t="s">
        <v>74</v>
      </c>
      <c r="AF310" t="s">
        <v>74</v>
      </c>
      <c r="AG310">
        <v>33</v>
      </c>
      <c r="AH310">
        <v>29</v>
      </c>
      <c r="AI310">
        <v>29</v>
      </c>
      <c r="AJ310">
        <v>0</v>
      </c>
      <c r="AK310">
        <v>17</v>
      </c>
      <c r="AL310" t="s">
        <v>1219</v>
      </c>
      <c r="AM310" t="s">
        <v>89</v>
      </c>
      <c r="AN310" t="s">
        <v>90</v>
      </c>
      <c r="AO310" t="s">
        <v>5341</v>
      </c>
      <c r="AP310" t="s">
        <v>5342</v>
      </c>
      <c r="AQ310" t="s">
        <v>74</v>
      </c>
      <c r="AR310" t="s">
        <v>5343</v>
      </c>
      <c r="AS310" t="s">
        <v>5344</v>
      </c>
      <c r="AT310" t="s">
        <v>1490</v>
      </c>
      <c r="AU310">
        <v>2008</v>
      </c>
      <c r="AV310">
        <v>72</v>
      </c>
      <c r="AW310">
        <v>1</v>
      </c>
      <c r="AX310" t="s">
        <v>74</v>
      </c>
      <c r="AY310" t="s">
        <v>74</v>
      </c>
      <c r="AZ310" t="s">
        <v>74</v>
      </c>
      <c r="BA310" t="s">
        <v>74</v>
      </c>
      <c r="BB310">
        <v>271</v>
      </c>
      <c r="BC310">
        <v>286</v>
      </c>
      <c r="BD310" t="s">
        <v>74</v>
      </c>
      <c r="BE310" t="s">
        <v>5345</v>
      </c>
      <c r="BF310" t="str">
        <f>HYPERLINK("http://dx.doi.org/10.1111/j.1095-8649.2007.01711.x","http://dx.doi.org/10.1111/j.1095-8649.2007.01711.x")</f>
        <v>http://dx.doi.org/10.1111/j.1095-8649.2007.01711.x</v>
      </c>
      <c r="BG310" t="s">
        <v>74</v>
      </c>
      <c r="BH310" t="s">
        <v>74</v>
      </c>
      <c r="BI310">
        <v>16</v>
      </c>
      <c r="BJ310" t="s">
        <v>5346</v>
      </c>
      <c r="BK310" t="s">
        <v>97</v>
      </c>
      <c r="BL310" t="s">
        <v>5346</v>
      </c>
      <c r="BM310" t="s">
        <v>5347</v>
      </c>
      <c r="BN310" t="s">
        <v>74</v>
      </c>
      <c r="BO310" t="s">
        <v>74</v>
      </c>
      <c r="BP310" t="s">
        <v>74</v>
      </c>
      <c r="BQ310" t="s">
        <v>74</v>
      </c>
      <c r="BR310" t="s">
        <v>100</v>
      </c>
      <c r="BS310" t="s">
        <v>5348</v>
      </c>
      <c r="BT310" t="str">
        <f>HYPERLINK("https%3A%2F%2Fwww.webofscience.com%2Fwos%2Fwoscc%2Ffull-record%2FWOS:000252713100018","View Full Record in Web of Science")</f>
        <v>View Full Record in Web of Science</v>
      </c>
    </row>
    <row r="311" spans="1:72" x14ac:dyDescent="0.15">
      <c r="A311" t="s">
        <v>72</v>
      </c>
      <c r="B311" t="s">
        <v>5349</v>
      </c>
      <c r="C311" t="s">
        <v>74</v>
      </c>
      <c r="D311" t="s">
        <v>74</v>
      </c>
      <c r="E311" t="s">
        <v>74</v>
      </c>
      <c r="F311" t="s">
        <v>5350</v>
      </c>
      <c r="G311" t="s">
        <v>74</v>
      </c>
      <c r="H311" t="s">
        <v>74</v>
      </c>
      <c r="I311" t="s">
        <v>5351</v>
      </c>
      <c r="J311" t="s">
        <v>5352</v>
      </c>
      <c r="K311" t="s">
        <v>74</v>
      </c>
      <c r="L311" t="s">
        <v>74</v>
      </c>
      <c r="M311" t="s">
        <v>5353</v>
      </c>
      <c r="N311" t="s">
        <v>106</v>
      </c>
      <c r="O311" t="s">
        <v>74</v>
      </c>
      <c r="P311" t="s">
        <v>74</v>
      </c>
      <c r="Q311" t="s">
        <v>74</v>
      </c>
      <c r="R311" t="s">
        <v>74</v>
      </c>
      <c r="S311" t="s">
        <v>74</v>
      </c>
      <c r="T311" t="s">
        <v>5354</v>
      </c>
      <c r="U311" t="s">
        <v>5355</v>
      </c>
      <c r="V311" t="s">
        <v>5356</v>
      </c>
      <c r="W311" t="s">
        <v>5357</v>
      </c>
      <c r="X311" t="s">
        <v>5358</v>
      </c>
      <c r="Y311" t="s">
        <v>5359</v>
      </c>
      <c r="Z311" t="s">
        <v>74</v>
      </c>
      <c r="AA311" t="s">
        <v>5360</v>
      </c>
      <c r="AB311" t="s">
        <v>5361</v>
      </c>
      <c r="AC311" t="s">
        <v>74</v>
      </c>
      <c r="AD311" t="s">
        <v>74</v>
      </c>
      <c r="AE311" t="s">
        <v>74</v>
      </c>
      <c r="AF311" t="s">
        <v>74</v>
      </c>
      <c r="AG311">
        <v>50</v>
      </c>
      <c r="AH311">
        <v>1</v>
      </c>
      <c r="AI311">
        <v>1</v>
      </c>
      <c r="AJ311">
        <v>0</v>
      </c>
      <c r="AK311">
        <v>1</v>
      </c>
      <c r="AL311" t="s">
        <v>5362</v>
      </c>
      <c r="AM311" t="s">
        <v>804</v>
      </c>
      <c r="AN311" t="s">
        <v>5363</v>
      </c>
      <c r="AO311" t="s">
        <v>5364</v>
      </c>
      <c r="AP311" t="s">
        <v>5365</v>
      </c>
      <c r="AQ311" t="s">
        <v>74</v>
      </c>
      <c r="AR311" t="s">
        <v>5366</v>
      </c>
      <c r="AS311" t="s">
        <v>5367</v>
      </c>
      <c r="AT311" t="s">
        <v>74</v>
      </c>
      <c r="AU311">
        <v>2008</v>
      </c>
      <c r="AV311">
        <v>117</v>
      </c>
      <c r="AW311">
        <v>1</v>
      </c>
      <c r="AX311" t="s">
        <v>74</v>
      </c>
      <c r="AY311" t="s">
        <v>74</v>
      </c>
      <c r="AZ311" t="s">
        <v>5368</v>
      </c>
      <c r="BA311" t="s">
        <v>74</v>
      </c>
      <c r="BB311">
        <v>124</v>
      </c>
      <c r="BC311">
        <v>145</v>
      </c>
      <c r="BD311" t="s">
        <v>74</v>
      </c>
      <c r="BE311" t="s">
        <v>74</v>
      </c>
      <c r="BF311" t="s">
        <v>74</v>
      </c>
      <c r="BG311" t="s">
        <v>74</v>
      </c>
      <c r="BH311" t="s">
        <v>74</v>
      </c>
      <c r="BI311">
        <v>22</v>
      </c>
      <c r="BJ311" t="s">
        <v>5369</v>
      </c>
      <c r="BK311" t="s">
        <v>2166</v>
      </c>
      <c r="BL311" t="s">
        <v>5370</v>
      </c>
      <c r="BM311" t="s">
        <v>5371</v>
      </c>
      <c r="BN311" t="s">
        <v>74</v>
      </c>
      <c r="BO311" t="s">
        <v>74</v>
      </c>
      <c r="BP311" t="s">
        <v>74</v>
      </c>
      <c r="BQ311" t="s">
        <v>74</v>
      </c>
      <c r="BR311" t="s">
        <v>100</v>
      </c>
      <c r="BS311" t="s">
        <v>5372</v>
      </c>
      <c r="BT311" t="str">
        <f>HYPERLINK("https%3A%2F%2Fwww.webofscience.com%2Fwos%2Fwoscc%2Ffull-record%2FWOS:000446252800008","View Full Record in Web of Science")</f>
        <v>View Full Record in Web of Science</v>
      </c>
    </row>
    <row r="312" spans="1:72" x14ac:dyDescent="0.15">
      <c r="A312" t="s">
        <v>72</v>
      </c>
      <c r="B312" t="s">
        <v>5373</v>
      </c>
      <c r="C312" t="s">
        <v>74</v>
      </c>
      <c r="D312" t="s">
        <v>74</v>
      </c>
      <c r="E312" t="s">
        <v>74</v>
      </c>
      <c r="F312" t="s">
        <v>5374</v>
      </c>
      <c r="G312" t="s">
        <v>74</v>
      </c>
      <c r="H312" t="s">
        <v>74</v>
      </c>
      <c r="I312" t="s">
        <v>5375</v>
      </c>
      <c r="J312" t="s">
        <v>5352</v>
      </c>
      <c r="K312" t="s">
        <v>74</v>
      </c>
      <c r="L312" t="s">
        <v>74</v>
      </c>
      <c r="M312" t="s">
        <v>5353</v>
      </c>
      <c r="N312" t="s">
        <v>106</v>
      </c>
      <c r="O312" t="s">
        <v>74</v>
      </c>
      <c r="P312" t="s">
        <v>74</v>
      </c>
      <c r="Q312" t="s">
        <v>74</v>
      </c>
      <c r="R312" t="s">
        <v>74</v>
      </c>
      <c r="S312" t="s">
        <v>74</v>
      </c>
      <c r="T312" t="s">
        <v>5376</v>
      </c>
      <c r="U312" t="s">
        <v>5377</v>
      </c>
      <c r="V312" t="s">
        <v>5378</v>
      </c>
      <c r="W312" t="s">
        <v>5379</v>
      </c>
      <c r="X312" t="s">
        <v>5380</v>
      </c>
      <c r="Y312" t="s">
        <v>5381</v>
      </c>
      <c r="Z312" t="s">
        <v>74</v>
      </c>
      <c r="AA312" t="s">
        <v>74</v>
      </c>
      <c r="AB312" t="s">
        <v>74</v>
      </c>
      <c r="AC312" t="s">
        <v>74</v>
      </c>
      <c r="AD312" t="s">
        <v>74</v>
      </c>
      <c r="AE312" t="s">
        <v>74</v>
      </c>
      <c r="AF312" t="s">
        <v>74</v>
      </c>
      <c r="AG312">
        <v>122</v>
      </c>
      <c r="AH312">
        <v>0</v>
      </c>
      <c r="AI312">
        <v>0</v>
      </c>
      <c r="AJ312">
        <v>2</v>
      </c>
      <c r="AK312">
        <v>8</v>
      </c>
      <c r="AL312" t="s">
        <v>5362</v>
      </c>
      <c r="AM312" t="s">
        <v>804</v>
      </c>
      <c r="AN312" t="s">
        <v>5363</v>
      </c>
      <c r="AO312" t="s">
        <v>5364</v>
      </c>
      <c r="AP312" t="s">
        <v>5365</v>
      </c>
      <c r="AQ312" t="s">
        <v>74</v>
      </c>
      <c r="AR312" t="s">
        <v>5366</v>
      </c>
      <c r="AS312" t="s">
        <v>5367</v>
      </c>
      <c r="AT312" t="s">
        <v>74</v>
      </c>
      <c r="AU312">
        <v>2008</v>
      </c>
      <c r="AV312">
        <v>117</v>
      </c>
      <c r="AW312">
        <v>6</v>
      </c>
      <c r="AX312" t="s">
        <v>74</v>
      </c>
      <c r="AY312" t="s">
        <v>74</v>
      </c>
      <c r="AZ312" t="s">
        <v>5368</v>
      </c>
      <c r="BA312" t="s">
        <v>74</v>
      </c>
      <c r="BB312">
        <v>1029</v>
      </c>
      <c r="BC312">
        <v>1050</v>
      </c>
      <c r="BD312" t="s">
        <v>74</v>
      </c>
      <c r="BE312" t="s">
        <v>74</v>
      </c>
      <c r="BF312" t="s">
        <v>74</v>
      </c>
      <c r="BG312" t="s">
        <v>74</v>
      </c>
      <c r="BH312" t="s">
        <v>74</v>
      </c>
      <c r="BI312">
        <v>22</v>
      </c>
      <c r="BJ312" t="s">
        <v>5369</v>
      </c>
      <c r="BK312" t="s">
        <v>2166</v>
      </c>
      <c r="BL312" t="s">
        <v>5370</v>
      </c>
      <c r="BM312" t="s">
        <v>5382</v>
      </c>
      <c r="BN312" t="s">
        <v>74</v>
      </c>
      <c r="BO312" t="s">
        <v>74</v>
      </c>
      <c r="BP312" t="s">
        <v>74</v>
      </c>
      <c r="BQ312" t="s">
        <v>74</v>
      </c>
      <c r="BR312" t="s">
        <v>100</v>
      </c>
      <c r="BS312" t="s">
        <v>5383</v>
      </c>
      <c r="BT312" t="str">
        <f>HYPERLINK("https%3A%2F%2Fwww.webofscience.com%2Fwos%2Fwoscc%2Ffull-record%2FWOS:000446259000006","View Full Record in Web of Science")</f>
        <v>View Full Record in Web of Science</v>
      </c>
    </row>
    <row r="313" spans="1:72" x14ac:dyDescent="0.15">
      <c r="A313" t="s">
        <v>72</v>
      </c>
      <c r="B313" t="s">
        <v>5384</v>
      </c>
      <c r="C313" t="s">
        <v>74</v>
      </c>
      <c r="D313" t="s">
        <v>74</v>
      </c>
      <c r="E313" t="s">
        <v>74</v>
      </c>
      <c r="F313" t="s">
        <v>5385</v>
      </c>
      <c r="G313" t="s">
        <v>74</v>
      </c>
      <c r="H313" t="s">
        <v>74</v>
      </c>
      <c r="I313" t="s">
        <v>5386</v>
      </c>
      <c r="J313" t="s">
        <v>5387</v>
      </c>
      <c r="K313" t="s">
        <v>74</v>
      </c>
      <c r="L313" t="s">
        <v>74</v>
      </c>
      <c r="M313" t="s">
        <v>78</v>
      </c>
      <c r="N313" t="s">
        <v>79</v>
      </c>
      <c r="O313" t="s">
        <v>74</v>
      </c>
      <c r="P313" t="s">
        <v>74</v>
      </c>
      <c r="Q313" t="s">
        <v>74</v>
      </c>
      <c r="R313" t="s">
        <v>74</v>
      </c>
      <c r="S313" t="s">
        <v>74</v>
      </c>
      <c r="T313" t="s">
        <v>74</v>
      </c>
      <c r="U313" t="s">
        <v>5388</v>
      </c>
      <c r="V313" t="s">
        <v>5389</v>
      </c>
      <c r="W313" t="s">
        <v>5390</v>
      </c>
      <c r="X313" t="s">
        <v>5391</v>
      </c>
      <c r="Y313" t="s">
        <v>5392</v>
      </c>
      <c r="Z313" t="s">
        <v>5393</v>
      </c>
      <c r="AA313" t="s">
        <v>5394</v>
      </c>
      <c r="AB313" t="s">
        <v>5395</v>
      </c>
      <c r="AC313" t="s">
        <v>74</v>
      </c>
      <c r="AD313" t="s">
        <v>74</v>
      </c>
      <c r="AE313" t="s">
        <v>74</v>
      </c>
      <c r="AF313" t="s">
        <v>74</v>
      </c>
      <c r="AG313">
        <v>56</v>
      </c>
      <c r="AH313">
        <v>164</v>
      </c>
      <c r="AI313">
        <v>186</v>
      </c>
      <c r="AJ313">
        <v>4</v>
      </c>
      <c r="AK313">
        <v>39</v>
      </c>
      <c r="AL313" t="s">
        <v>2556</v>
      </c>
      <c r="AM313" t="s">
        <v>1467</v>
      </c>
      <c r="AN313" t="s">
        <v>2557</v>
      </c>
      <c r="AO313" t="s">
        <v>5396</v>
      </c>
      <c r="AP313" t="s">
        <v>5397</v>
      </c>
      <c r="AQ313" t="s">
        <v>74</v>
      </c>
      <c r="AR313" t="s">
        <v>5398</v>
      </c>
      <c r="AS313" t="s">
        <v>5399</v>
      </c>
      <c r="AT313" t="s">
        <v>74</v>
      </c>
      <c r="AU313">
        <v>2008</v>
      </c>
      <c r="AV313">
        <v>54</v>
      </c>
      <c r="AW313">
        <v>184</v>
      </c>
      <c r="AX313" t="s">
        <v>74</v>
      </c>
      <c r="AY313" t="s">
        <v>74</v>
      </c>
      <c r="AZ313" t="s">
        <v>74</v>
      </c>
      <c r="BA313" t="s">
        <v>74</v>
      </c>
      <c r="BB313">
        <v>3</v>
      </c>
      <c r="BC313">
        <v>16</v>
      </c>
      <c r="BD313" t="s">
        <v>74</v>
      </c>
      <c r="BE313" t="s">
        <v>5400</v>
      </c>
      <c r="BF313" t="str">
        <f>HYPERLINK("http://dx.doi.org/10.3189/002214308784409017","http://dx.doi.org/10.3189/002214308784409017")</f>
        <v>http://dx.doi.org/10.3189/002214308784409017</v>
      </c>
      <c r="BG313" t="s">
        <v>74</v>
      </c>
      <c r="BH313" t="s">
        <v>74</v>
      </c>
      <c r="BI313">
        <v>14</v>
      </c>
      <c r="BJ313" t="s">
        <v>2748</v>
      </c>
      <c r="BK313" t="s">
        <v>97</v>
      </c>
      <c r="BL313" t="s">
        <v>2749</v>
      </c>
      <c r="BM313" t="s">
        <v>5401</v>
      </c>
      <c r="BN313" t="s">
        <v>74</v>
      </c>
      <c r="BO313" t="s">
        <v>1838</v>
      </c>
      <c r="BP313" t="s">
        <v>74</v>
      </c>
      <c r="BQ313" t="s">
        <v>74</v>
      </c>
      <c r="BR313" t="s">
        <v>100</v>
      </c>
      <c r="BS313" t="s">
        <v>5402</v>
      </c>
      <c r="BT313" t="str">
        <f>HYPERLINK("https%3A%2F%2Fwww.webofscience.com%2Fwos%2Fwoscc%2Ffull-record%2FWOS:000254545800001","View Full Record in Web of Science")</f>
        <v>View Full Record in Web of Science</v>
      </c>
    </row>
    <row r="314" spans="1:72" x14ac:dyDescent="0.15">
      <c r="A314" t="s">
        <v>72</v>
      </c>
      <c r="B314" t="s">
        <v>5403</v>
      </c>
      <c r="C314" t="s">
        <v>74</v>
      </c>
      <c r="D314" t="s">
        <v>74</v>
      </c>
      <c r="E314" t="s">
        <v>74</v>
      </c>
      <c r="F314" t="s">
        <v>5404</v>
      </c>
      <c r="G314" t="s">
        <v>74</v>
      </c>
      <c r="H314" t="s">
        <v>74</v>
      </c>
      <c r="I314" t="s">
        <v>5405</v>
      </c>
      <c r="J314" t="s">
        <v>5387</v>
      </c>
      <c r="K314" t="s">
        <v>74</v>
      </c>
      <c r="L314" t="s">
        <v>74</v>
      </c>
      <c r="M314" t="s">
        <v>78</v>
      </c>
      <c r="N314" t="s">
        <v>79</v>
      </c>
      <c r="O314" t="s">
        <v>74</v>
      </c>
      <c r="P314" t="s">
        <v>74</v>
      </c>
      <c r="Q314" t="s">
        <v>74</v>
      </c>
      <c r="R314" t="s">
        <v>74</v>
      </c>
      <c r="S314" t="s">
        <v>74</v>
      </c>
      <c r="T314" t="s">
        <v>74</v>
      </c>
      <c r="U314" t="s">
        <v>5406</v>
      </c>
      <c r="V314" t="s">
        <v>5407</v>
      </c>
      <c r="W314" t="s">
        <v>5408</v>
      </c>
      <c r="X314" t="s">
        <v>5409</v>
      </c>
      <c r="Y314" t="s">
        <v>5410</v>
      </c>
      <c r="Z314" t="s">
        <v>5411</v>
      </c>
      <c r="AA314" t="s">
        <v>5412</v>
      </c>
      <c r="AB314" t="s">
        <v>5413</v>
      </c>
      <c r="AC314" t="s">
        <v>74</v>
      </c>
      <c r="AD314" t="s">
        <v>74</v>
      </c>
      <c r="AE314" t="s">
        <v>74</v>
      </c>
      <c r="AF314" t="s">
        <v>74</v>
      </c>
      <c r="AG314">
        <v>31</v>
      </c>
      <c r="AH314">
        <v>69</v>
      </c>
      <c r="AI314">
        <v>76</v>
      </c>
      <c r="AJ314">
        <v>0</v>
      </c>
      <c r="AK314">
        <v>18</v>
      </c>
      <c r="AL314" t="s">
        <v>2556</v>
      </c>
      <c r="AM314" t="s">
        <v>1467</v>
      </c>
      <c r="AN314" t="s">
        <v>2557</v>
      </c>
      <c r="AO314" t="s">
        <v>5396</v>
      </c>
      <c r="AP314" t="s">
        <v>5397</v>
      </c>
      <c r="AQ314" t="s">
        <v>74</v>
      </c>
      <c r="AR314" t="s">
        <v>5398</v>
      </c>
      <c r="AS314" t="s">
        <v>5399</v>
      </c>
      <c r="AT314" t="s">
        <v>74</v>
      </c>
      <c r="AU314">
        <v>2008</v>
      </c>
      <c r="AV314">
        <v>54</v>
      </c>
      <c r="AW314">
        <v>184</v>
      </c>
      <c r="AX314" t="s">
        <v>74</v>
      </c>
      <c r="AY314" t="s">
        <v>74</v>
      </c>
      <c r="AZ314" t="s">
        <v>74</v>
      </c>
      <c r="BA314" t="s">
        <v>74</v>
      </c>
      <c r="BB314">
        <v>17</v>
      </c>
      <c r="BC314">
        <v>27</v>
      </c>
      <c r="BD314" t="s">
        <v>74</v>
      </c>
      <c r="BE314" t="s">
        <v>5414</v>
      </c>
      <c r="BF314" t="str">
        <f>HYPERLINK("http://dx.doi.org/10.3189/002214308784409116","http://dx.doi.org/10.3189/002214308784409116")</f>
        <v>http://dx.doi.org/10.3189/002214308784409116</v>
      </c>
      <c r="BG314" t="s">
        <v>74</v>
      </c>
      <c r="BH314" t="s">
        <v>74</v>
      </c>
      <c r="BI314">
        <v>11</v>
      </c>
      <c r="BJ314" t="s">
        <v>2748</v>
      </c>
      <c r="BK314" t="s">
        <v>97</v>
      </c>
      <c r="BL314" t="s">
        <v>2749</v>
      </c>
      <c r="BM314" t="s">
        <v>5401</v>
      </c>
      <c r="BN314" t="s">
        <v>74</v>
      </c>
      <c r="BO314" t="s">
        <v>5415</v>
      </c>
      <c r="BP314" t="s">
        <v>74</v>
      </c>
      <c r="BQ314" t="s">
        <v>74</v>
      </c>
      <c r="BR314" t="s">
        <v>100</v>
      </c>
      <c r="BS314" t="s">
        <v>5416</v>
      </c>
      <c r="BT314" t="str">
        <f>HYPERLINK("https%3A%2F%2Fwww.webofscience.com%2Fwos%2Fwoscc%2Ffull-record%2FWOS:000254545800002","View Full Record in Web of Science")</f>
        <v>View Full Record in Web of Science</v>
      </c>
    </row>
    <row r="315" spans="1:72" x14ac:dyDescent="0.15">
      <c r="A315" t="s">
        <v>72</v>
      </c>
      <c r="B315" t="s">
        <v>5417</v>
      </c>
      <c r="C315" t="s">
        <v>74</v>
      </c>
      <c r="D315" t="s">
        <v>74</v>
      </c>
      <c r="E315" t="s">
        <v>74</v>
      </c>
      <c r="F315" t="s">
        <v>5418</v>
      </c>
      <c r="G315" t="s">
        <v>74</v>
      </c>
      <c r="H315" t="s">
        <v>74</v>
      </c>
      <c r="I315" t="s">
        <v>5419</v>
      </c>
      <c r="J315" t="s">
        <v>5387</v>
      </c>
      <c r="K315" t="s">
        <v>74</v>
      </c>
      <c r="L315" t="s">
        <v>74</v>
      </c>
      <c r="M315" t="s">
        <v>78</v>
      </c>
      <c r="N315" t="s">
        <v>79</v>
      </c>
      <c r="O315" t="s">
        <v>74</v>
      </c>
      <c r="P315" t="s">
        <v>74</v>
      </c>
      <c r="Q315" t="s">
        <v>74</v>
      </c>
      <c r="R315" t="s">
        <v>74</v>
      </c>
      <c r="S315" t="s">
        <v>74</v>
      </c>
      <c r="T315" t="s">
        <v>74</v>
      </c>
      <c r="U315" t="s">
        <v>5420</v>
      </c>
      <c r="V315" t="s">
        <v>5421</v>
      </c>
      <c r="W315" t="s">
        <v>5422</v>
      </c>
      <c r="X315" t="s">
        <v>5423</v>
      </c>
      <c r="Y315" t="s">
        <v>5424</v>
      </c>
      <c r="Z315" t="s">
        <v>5425</v>
      </c>
      <c r="AA315" t="s">
        <v>5426</v>
      </c>
      <c r="AB315" t="s">
        <v>5427</v>
      </c>
      <c r="AC315" t="s">
        <v>3298</v>
      </c>
      <c r="AD315" t="s">
        <v>444</v>
      </c>
      <c r="AE315" t="s">
        <v>74</v>
      </c>
      <c r="AF315" t="s">
        <v>74</v>
      </c>
      <c r="AG315">
        <v>36</v>
      </c>
      <c r="AH315">
        <v>53</v>
      </c>
      <c r="AI315">
        <v>58</v>
      </c>
      <c r="AJ315">
        <v>0</v>
      </c>
      <c r="AK315">
        <v>13</v>
      </c>
      <c r="AL315" t="s">
        <v>5428</v>
      </c>
      <c r="AM315" t="s">
        <v>1467</v>
      </c>
      <c r="AN315" t="s">
        <v>1819</v>
      </c>
      <c r="AO315" t="s">
        <v>5396</v>
      </c>
      <c r="AP315" t="s">
        <v>5397</v>
      </c>
      <c r="AQ315" t="s">
        <v>74</v>
      </c>
      <c r="AR315" t="s">
        <v>5398</v>
      </c>
      <c r="AS315" t="s">
        <v>5399</v>
      </c>
      <c r="AT315" t="s">
        <v>74</v>
      </c>
      <c r="AU315">
        <v>2008</v>
      </c>
      <c r="AV315">
        <v>54</v>
      </c>
      <c r="AW315">
        <v>184</v>
      </c>
      <c r="AX315" t="s">
        <v>74</v>
      </c>
      <c r="AY315" t="s">
        <v>74</v>
      </c>
      <c r="AZ315" t="s">
        <v>74</v>
      </c>
      <c r="BA315" t="s">
        <v>74</v>
      </c>
      <c r="BB315">
        <v>41</v>
      </c>
      <c r="BC315">
        <v>48</v>
      </c>
      <c r="BD315" t="s">
        <v>74</v>
      </c>
      <c r="BE315" t="s">
        <v>5429</v>
      </c>
      <c r="BF315" t="str">
        <f>HYPERLINK("http://dx.doi.org/10.3189/002214308784409125","http://dx.doi.org/10.3189/002214308784409125")</f>
        <v>http://dx.doi.org/10.3189/002214308784409125</v>
      </c>
      <c r="BG315" t="s">
        <v>74</v>
      </c>
      <c r="BH315" t="s">
        <v>74</v>
      </c>
      <c r="BI315">
        <v>8</v>
      </c>
      <c r="BJ315" t="s">
        <v>2748</v>
      </c>
      <c r="BK315" t="s">
        <v>97</v>
      </c>
      <c r="BL315" t="s">
        <v>2749</v>
      </c>
      <c r="BM315" t="s">
        <v>5401</v>
      </c>
      <c r="BN315" t="s">
        <v>74</v>
      </c>
      <c r="BO315" t="s">
        <v>179</v>
      </c>
      <c r="BP315" t="s">
        <v>74</v>
      </c>
      <c r="BQ315" t="s">
        <v>74</v>
      </c>
      <c r="BR315" t="s">
        <v>100</v>
      </c>
      <c r="BS315" t="s">
        <v>5430</v>
      </c>
      <c r="BT315" t="str">
        <f>HYPERLINK("https%3A%2F%2Fwww.webofscience.com%2Fwos%2Fwoscc%2Ffull-record%2FWOS:000254545800004","View Full Record in Web of Science")</f>
        <v>View Full Record in Web of Science</v>
      </c>
    </row>
    <row r="316" spans="1:72" x14ac:dyDescent="0.15">
      <c r="A316" t="s">
        <v>72</v>
      </c>
      <c r="B316" t="s">
        <v>5431</v>
      </c>
      <c r="C316" t="s">
        <v>74</v>
      </c>
      <c r="D316" t="s">
        <v>74</v>
      </c>
      <c r="E316" t="s">
        <v>74</v>
      </c>
      <c r="F316" t="s">
        <v>5432</v>
      </c>
      <c r="G316" t="s">
        <v>74</v>
      </c>
      <c r="H316" t="s">
        <v>74</v>
      </c>
      <c r="I316" t="s">
        <v>5433</v>
      </c>
      <c r="J316" t="s">
        <v>5387</v>
      </c>
      <c r="K316" t="s">
        <v>74</v>
      </c>
      <c r="L316" t="s">
        <v>74</v>
      </c>
      <c r="M316" t="s">
        <v>78</v>
      </c>
      <c r="N316" t="s">
        <v>79</v>
      </c>
      <c r="O316" t="s">
        <v>74</v>
      </c>
      <c r="P316" t="s">
        <v>74</v>
      </c>
      <c r="Q316" t="s">
        <v>74</v>
      </c>
      <c r="R316" t="s">
        <v>74</v>
      </c>
      <c r="S316" t="s">
        <v>74</v>
      </c>
      <c r="T316" t="s">
        <v>74</v>
      </c>
      <c r="U316" t="s">
        <v>5434</v>
      </c>
      <c r="V316" t="s">
        <v>5435</v>
      </c>
      <c r="W316" t="s">
        <v>5436</v>
      </c>
      <c r="X316" t="s">
        <v>5437</v>
      </c>
      <c r="Y316" t="s">
        <v>5438</v>
      </c>
      <c r="Z316" t="s">
        <v>5439</v>
      </c>
      <c r="AA316" t="s">
        <v>5440</v>
      </c>
      <c r="AB316" t="s">
        <v>5441</v>
      </c>
      <c r="AC316" t="s">
        <v>74</v>
      </c>
      <c r="AD316" t="s">
        <v>74</v>
      </c>
      <c r="AE316" t="s">
        <v>74</v>
      </c>
      <c r="AF316" t="s">
        <v>74</v>
      </c>
      <c r="AG316">
        <v>41</v>
      </c>
      <c r="AH316">
        <v>60</v>
      </c>
      <c r="AI316">
        <v>67</v>
      </c>
      <c r="AJ316">
        <v>1</v>
      </c>
      <c r="AK316">
        <v>7</v>
      </c>
      <c r="AL316" t="s">
        <v>2556</v>
      </c>
      <c r="AM316" t="s">
        <v>1467</v>
      </c>
      <c r="AN316" t="s">
        <v>2557</v>
      </c>
      <c r="AO316" t="s">
        <v>5396</v>
      </c>
      <c r="AP316" t="s">
        <v>5397</v>
      </c>
      <c r="AQ316" t="s">
        <v>74</v>
      </c>
      <c r="AR316" t="s">
        <v>5398</v>
      </c>
      <c r="AS316" t="s">
        <v>5399</v>
      </c>
      <c r="AT316" t="s">
        <v>74</v>
      </c>
      <c r="AU316">
        <v>2008</v>
      </c>
      <c r="AV316">
        <v>54</v>
      </c>
      <c r="AW316">
        <v>184</v>
      </c>
      <c r="AX316" t="s">
        <v>74</v>
      </c>
      <c r="AY316" t="s">
        <v>74</v>
      </c>
      <c r="AZ316" t="s">
        <v>74</v>
      </c>
      <c r="BA316" t="s">
        <v>74</v>
      </c>
      <c r="BB316">
        <v>107</v>
      </c>
      <c r="BC316">
        <v>116</v>
      </c>
      <c r="BD316" t="s">
        <v>74</v>
      </c>
      <c r="BE316" t="s">
        <v>5442</v>
      </c>
      <c r="BF316" t="str">
        <f>HYPERLINK("http://dx.doi.org/10.3189/002214308784409062","http://dx.doi.org/10.3189/002214308784409062")</f>
        <v>http://dx.doi.org/10.3189/002214308784409062</v>
      </c>
      <c r="BG316" t="s">
        <v>74</v>
      </c>
      <c r="BH316" t="s">
        <v>74</v>
      </c>
      <c r="BI316">
        <v>10</v>
      </c>
      <c r="BJ316" t="s">
        <v>2748</v>
      </c>
      <c r="BK316" t="s">
        <v>97</v>
      </c>
      <c r="BL316" t="s">
        <v>2749</v>
      </c>
      <c r="BM316" t="s">
        <v>5401</v>
      </c>
      <c r="BN316" t="s">
        <v>74</v>
      </c>
      <c r="BO316" t="s">
        <v>179</v>
      </c>
      <c r="BP316" t="s">
        <v>74</v>
      </c>
      <c r="BQ316" t="s">
        <v>74</v>
      </c>
      <c r="BR316" t="s">
        <v>100</v>
      </c>
      <c r="BS316" t="s">
        <v>5443</v>
      </c>
      <c r="BT316" t="str">
        <f>HYPERLINK("https%3A%2F%2Fwww.webofscience.com%2Fwos%2Fwoscc%2Ffull-record%2FWOS:000254545800010","View Full Record in Web of Science")</f>
        <v>View Full Record in Web of Science</v>
      </c>
    </row>
    <row r="317" spans="1:72" x14ac:dyDescent="0.15">
      <c r="A317" t="s">
        <v>72</v>
      </c>
      <c r="B317" t="s">
        <v>5444</v>
      </c>
      <c r="C317" t="s">
        <v>74</v>
      </c>
      <c r="D317" t="s">
        <v>74</v>
      </c>
      <c r="E317" t="s">
        <v>74</v>
      </c>
      <c r="F317" t="s">
        <v>5445</v>
      </c>
      <c r="G317" t="s">
        <v>74</v>
      </c>
      <c r="H317" t="s">
        <v>74</v>
      </c>
      <c r="I317" t="s">
        <v>5446</v>
      </c>
      <c r="J317" t="s">
        <v>5387</v>
      </c>
      <c r="K317" t="s">
        <v>74</v>
      </c>
      <c r="L317" t="s">
        <v>74</v>
      </c>
      <c r="M317" t="s">
        <v>78</v>
      </c>
      <c r="N317" t="s">
        <v>79</v>
      </c>
      <c r="O317" t="s">
        <v>74</v>
      </c>
      <c r="P317" t="s">
        <v>74</v>
      </c>
      <c r="Q317" t="s">
        <v>74</v>
      </c>
      <c r="R317" t="s">
        <v>74</v>
      </c>
      <c r="S317" t="s">
        <v>74</v>
      </c>
      <c r="T317" t="s">
        <v>74</v>
      </c>
      <c r="U317" t="s">
        <v>5447</v>
      </c>
      <c r="V317" t="s">
        <v>5448</v>
      </c>
      <c r="W317" t="s">
        <v>5449</v>
      </c>
      <c r="X317" t="s">
        <v>5450</v>
      </c>
      <c r="Y317" t="s">
        <v>5451</v>
      </c>
      <c r="Z317" t="s">
        <v>5452</v>
      </c>
      <c r="AA317" t="s">
        <v>5453</v>
      </c>
      <c r="AB317" t="s">
        <v>5454</v>
      </c>
      <c r="AC317" t="s">
        <v>74</v>
      </c>
      <c r="AD317" t="s">
        <v>74</v>
      </c>
      <c r="AE317" t="s">
        <v>74</v>
      </c>
      <c r="AF317" t="s">
        <v>74</v>
      </c>
      <c r="AG317">
        <v>42</v>
      </c>
      <c r="AH317">
        <v>43</v>
      </c>
      <c r="AI317">
        <v>49</v>
      </c>
      <c r="AJ317">
        <v>1</v>
      </c>
      <c r="AK317">
        <v>16</v>
      </c>
      <c r="AL317" t="s">
        <v>5428</v>
      </c>
      <c r="AM317" t="s">
        <v>1467</v>
      </c>
      <c r="AN317" t="s">
        <v>1819</v>
      </c>
      <c r="AO317" t="s">
        <v>5396</v>
      </c>
      <c r="AP317" t="s">
        <v>74</v>
      </c>
      <c r="AQ317" t="s">
        <v>74</v>
      </c>
      <c r="AR317" t="s">
        <v>5398</v>
      </c>
      <c r="AS317" t="s">
        <v>5399</v>
      </c>
      <c r="AT317" t="s">
        <v>74</v>
      </c>
      <c r="AU317">
        <v>2008</v>
      </c>
      <c r="AV317">
        <v>54</v>
      </c>
      <c r="AW317">
        <v>184</v>
      </c>
      <c r="AX317" t="s">
        <v>74</v>
      </c>
      <c r="AY317" t="s">
        <v>74</v>
      </c>
      <c r="AZ317" t="s">
        <v>74</v>
      </c>
      <c r="BA317" t="s">
        <v>74</v>
      </c>
      <c r="BB317">
        <v>117</v>
      </c>
      <c r="BC317">
        <v>124</v>
      </c>
      <c r="BD317" t="s">
        <v>74</v>
      </c>
      <c r="BE317" t="s">
        <v>5455</v>
      </c>
      <c r="BF317" t="str">
        <f>HYPERLINK("http://dx.doi.org/10.3189/002214308784408991","http://dx.doi.org/10.3189/002214308784408991")</f>
        <v>http://dx.doi.org/10.3189/002214308784408991</v>
      </c>
      <c r="BG317" t="s">
        <v>74</v>
      </c>
      <c r="BH317" t="s">
        <v>74</v>
      </c>
      <c r="BI317">
        <v>8</v>
      </c>
      <c r="BJ317" t="s">
        <v>2748</v>
      </c>
      <c r="BK317" t="s">
        <v>97</v>
      </c>
      <c r="BL317" t="s">
        <v>2749</v>
      </c>
      <c r="BM317" t="s">
        <v>5401</v>
      </c>
      <c r="BN317" t="s">
        <v>74</v>
      </c>
      <c r="BO317" t="s">
        <v>610</v>
      </c>
      <c r="BP317" t="s">
        <v>74</v>
      </c>
      <c r="BQ317" t="s">
        <v>74</v>
      </c>
      <c r="BR317" t="s">
        <v>100</v>
      </c>
      <c r="BS317" t="s">
        <v>5456</v>
      </c>
      <c r="BT317" t="str">
        <f>HYPERLINK("https%3A%2F%2Fwww.webofscience.com%2Fwos%2Fwoscc%2Ffull-record%2FWOS:000254545800011","View Full Record in Web of Science")</f>
        <v>View Full Record in Web of Science</v>
      </c>
    </row>
    <row r="318" spans="1:72" x14ac:dyDescent="0.15">
      <c r="A318" t="s">
        <v>72</v>
      </c>
      <c r="B318" t="s">
        <v>5457</v>
      </c>
      <c r="C318" t="s">
        <v>74</v>
      </c>
      <c r="D318" t="s">
        <v>74</v>
      </c>
      <c r="E318" t="s">
        <v>74</v>
      </c>
      <c r="F318" t="s">
        <v>5458</v>
      </c>
      <c r="G318" t="s">
        <v>74</v>
      </c>
      <c r="H318" t="s">
        <v>74</v>
      </c>
      <c r="I318" t="s">
        <v>5459</v>
      </c>
      <c r="J318" t="s">
        <v>5387</v>
      </c>
      <c r="K318" t="s">
        <v>74</v>
      </c>
      <c r="L318" t="s">
        <v>74</v>
      </c>
      <c r="M318" t="s">
        <v>78</v>
      </c>
      <c r="N318" t="s">
        <v>79</v>
      </c>
      <c r="O318" t="s">
        <v>74</v>
      </c>
      <c r="P318" t="s">
        <v>74</v>
      </c>
      <c r="Q318" t="s">
        <v>74</v>
      </c>
      <c r="R318" t="s">
        <v>74</v>
      </c>
      <c r="S318" t="s">
        <v>74</v>
      </c>
      <c r="T318" t="s">
        <v>74</v>
      </c>
      <c r="U318" t="s">
        <v>5460</v>
      </c>
      <c r="V318" t="s">
        <v>5461</v>
      </c>
      <c r="W318" t="s">
        <v>5462</v>
      </c>
      <c r="X318" t="s">
        <v>5463</v>
      </c>
      <c r="Y318" t="s">
        <v>5464</v>
      </c>
      <c r="Z318" t="s">
        <v>5465</v>
      </c>
      <c r="AA318" t="s">
        <v>74</v>
      </c>
      <c r="AB318" t="s">
        <v>5466</v>
      </c>
      <c r="AC318" t="s">
        <v>3298</v>
      </c>
      <c r="AD318" t="s">
        <v>444</v>
      </c>
      <c r="AE318" t="s">
        <v>74</v>
      </c>
      <c r="AF318" t="s">
        <v>74</v>
      </c>
      <c r="AG318">
        <v>41</v>
      </c>
      <c r="AH318">
        <v>33</v>
      </c>
      <c r="AI318">
        <v>38</v>
      </c>
      <c r="AJ318">
        <v>1</v>
      </c>
      <c r="AK318">
        <v>11</v>
      </c>
      <c r="AL318" t="s">
        <v>2556</v>
      </c>
      <c r="AM318" t="s">
        <v>1467</v>
      </c>
      <c r="AN318" t="s">
        <v>2557</v>
      </c>
      <c r="AO318" t="s">
        <v>5396</v>
      </c>
      <c r="AP318" t="s">
        <v>5397</v>
      </c>
      <c r="AQ318" t="s">
        <v>74</v>
      </c>
      <c r="AR318" t="s">
        <v>5398</v>
      </c>
      <c r="AS318" t="s">
        <v>5399</v>
      </c>
      <c r="AT318" t="s">
        <v>74</v>
      </c>
      <c r="AU318">
        <v>2008</v>
      </c>
      <c r="AV318">
        <v>54</v>
      </c>
      <c r="AW318">
        <v>184</v>
      </c>
      <c r="AX318" t="s">
        <v>74</v>
      </c>
      <c r="AY318" t="s">
        <v>74</v>
      </c>
      <c r="AZ318" t="s">
        <v>74</v>
      </c>
      <c r="BA318" t="s">
        <v>74</v>
      </c>
      <c r="BB318">
        <v>145</v>
      </c>
      <c r="BC318">
        <v>156</v>
      </c>
      <c r="BD318" t="s">
        <v>74</v>
      </c>
      <c r="BE318" t="s">
        <v>5467</v>
      </c>
      <c r="BF318" t="str">
        <f>HYPERLINK("http://dx.doi.org/10.3189/002214308784409099","http://dx.doi.org/10.3189/002214308784409099")</f>
        <v>http://dx.doi.org/10.3189/002214308784409099</v>
      </c>
      <c r="BG318" t="s">
        <v>74</v>
      </c>
      <c r="BH318" t="s">
        <v>74</v>
      </c>
      <c r="BI318">
        <v>12</v>
      </c>
      <c r="BJ318" t="s">
        <v>2748</v>
      </c>
      <c r="BK318" t="s">
        <v>97</v>
      </c>
      <c r="BL318" t="s">
        <v>2749</v>
      </c>
      <c r="BM318" t="s">
        <v>5401</v>
      </c>
      <c r="BN318" t="s">
        <v>74</v>
      </c>
      <c r="BO318" t="s">
        <v>179</v>
      </c>
      <c r="BP318" t="s">
        <v>74</v>
      </c>
      <c r="BQ318" t="s">
        <v>74</v>
      </c>
      <c r="BR318" t="s">
        <v>100</v>
      </c>
      <c r="BS318" t="s">
        <v>5468</v>
      </c>
      <c r="BT318" t="str">
        <f>HYPERLINK("https%3A%2F%2Fwww.webofscience.com%2Fwos%2Fwoscc%2Ffull-record%2FWOS:000254545800014","View Full Record in Web of Science")</f>
        <v>View Full Record in Web of Science</v>
      </c>
    </row>
    <row r="319" spans="1:72" x14ac:dyDescent="0.15">
      <c r="A319" t="s">
        <v>72</v>
      </c>
      <c r="B319" t="s">
        <v>5469</v>
      </c>
      <c r="C319" t="s">
        <v>74</v>
      </c>
      <c r="D319" t="s">
        <v>74</v>
      </c>
      <c r="E319" t="s">
        <v>74</v>
      </c>
      <c r="F319" t="s">
        <v>5470</v>
      </c>
      <c r="G319" t="s">
        <v>74</v>
      </c>
      <c r="H319" t="s">
        <v>74</v>
      </c>
      <c r="I319" t="s">
        <v>5471</v>
      </c>
      <c r="J319" t="s">
        <v>5387</v>
      </c>
      <c r="K319" t="s">
        <v>74</v>
      </c>
      <c r="L319" t="s">
        <v>74</v>
      </c>
      <c r="M319" t="s">
        <v>78</v>
      </c>
      <c r="N319" t="s">
        <v>79</v>
      </c>
      <c r="O319" t="s">
        <v>74</v>
      </c>
      <c r="P319" t="s">
        <v>74</v>
      </c>
      <c r="Q319" t="s">
        <v>74</v>
      </c>
      <c r="R319" t="s">
        <v>74</v>
      </c>
      <c r="S319" t="s">
        <v>74</v>
      </c>
      <c r="T319" t="s">
        <v>74</v>
      </c>
      <c r="U319" t="s">
        <v>5472</v>
      </c>
      <c r="V319" t="s">
        <v>5473</v>
      </c>
      <c r="W319" t="s">
        <v>5474</v>
      </c>
      <c r="X319" t="s">
        <v>5475</v>
      </c>
      <c r="Y319" t="s">
        <v>5476</v>
      </c>
      <c r="Z319" t="s">
        <v>3268</v>
      </c>
      <c r="AA319" t="s">
        <v>5477</v>
      </c>
      <c r="AB319" t="s">
        <v>5478</v>
      </c>
      <c r="AC319" t="s">
        <v>74</v>
      </c>
      <c r="AD319" t="s">
        <v>74</v>
      </c>
      <c r="AE319" t="s">
        <v>74</v>
      </c>
      <c r="AF319" t="s">
        <v>74</v>
      </c>
      <c r="AG319">
        <v>27</v>
      </c>
      <c r="AH319">
        <v>58</v>
      </c>
      <c r="AI319">
        <v>65</v>
      </c>
      <c r="AJ319">
        <v>0</v>
      </c>
      <c r="AK319">
        <v>14</v>
      </c>
      <c r="AL319" t="s">
        <v>2556</v>
      </c>
      <c r="AM319" t="s">
        <v>1467</v>
      </c>
      <c r="AN319" t="s">
        <v>2557</v>
      </c>
      <c r="AO319" t="s">
        <v>5396</v>
      </c>
      <c r="AP319" t="s">
        <v>5397</v>
      </c>
      <c r="AQ319" t="s">
        <v>74</v>
      </c>
      <c r="AR319" t="s">
        <v>5398</v>
      </c>
      <c r="AS319" t="s">
        <v>5399</v>
      </c>
      <c r="AT319" t="s">
        <v>74</v>
      </c>
      <c r="AU319">
        <v>2008</v>
      </c>
      <c r="AV319">
        <v>54</v>
      </c>
      <c r="AW319">
        <v>185</v>
      </c>
      <c r="AX319" t="s">
        <v>74</v>
      </c>
      <c r="AY319" t="s">
        <v>74</v>
      </c>
      <c r="AZ319" t="s">
        <v>74</v>
      </c>
      <c r="BA319" t="s">
        <v>74</v>
      </c>
      <c r="BB319">
        <v>353</v>
      </c>
      <c r="BC319">
        <v>361</v>
      </c>
      <c r="BD319" t="s">
        <v>74</v>
      </c>
      <c r="BE319" t="s">
        <v>5479</v>
      </c>
      <c r="BF319" t="str">
        <f>HYPERLINK("http://dx.doi.org/10.3189/002214308784886171","http://dx.doi.org/10.3189/002214308784886171")</f>
        <v>http://dx.doi.org/10.3189/002214308784886171</v>
      </c>
      <c r="BG319" t="s">
        <v>74</v>
      </c>
      <c r="BH319" t="s">
        <v>74</v>
      </c>
      <c r="BI319">
        <v>9</v>
      </c>
      <c r="BJ319" t="s">
        <v>2748</v>
      </c>
      <c r="BK319" t="s">
        <v>97</v>
      </c>
      <c r="BL319" t="s">
        <v>2749</v>
      </c>
      <c r="BM319" t="s">
        <v>5480</v>
      </c>
      <c r="BN319" t="s">
        <v>74</v>
      </c>
      <c r="BO319" t="s">
        <v>1838</v>
      </c>
      <c r="BP319" t="s">
        <v>74</v>
      </c>
      <c r="BQ319" t="s">
        <v>74</v>
      </c>
      <c r="BR319" t="s">
        <v>100</v>
      </c>
      <c r="BS319" t="s">
        <v>5481</v>
      </c>
      <c r="BT319" t="str">
        <f>HYPERLINK("https%3A%2F%2Fwww.webofscience.com%2Fwos%2Fwoscc%2Ffull-record%2FWOS:000256949400016","View Full Record in Web of Science")</f>
        <v>View Full Record in Web of Science</v>
      </c>
    </row>
    <row r="320" spans="1:72" x14ac:dyDescent="0.15">
      <c r="A320" t="s">
        <v>72</v>
      </c>
      <c r="B320" t="s">
        <v>5482</v>
      </c>
      <c r="C320" t="s">
        <v>74</v>
      </c>
      <c r="D320" t="s">
        <v>74</v>
      </c>
      <c r="E320" t="s">
        <v>74</v>
      </c>
      <c r="F320" t="s">
        <v>5483</v>
      </c>
      <c r="G320" t="s">
        <v>74</v>
      </c>
      <c r="H320" t="s">
        <v>74</v>
      </c>
      <c r="I320" t="s">
        <v>5484</v>
      </c>
      <c r="J320" t="s">
        <v>5387</v>
      </c>
      <c r="K320" t="s">
        <v>74</v>
      </c>
      <c r="L320" t="s">
        <v>74</v>
      </c>
      <c r="M320" t="s">
        <v>78</v>
      </c>
      <c r="N320" t="s">
        <v>79</v>
      </c>
      <c r="O320" t="s">
        <v>74</v>
      </c>
      <c r="P320" t="s">
        <v>74</v>
      </c>
      <c r="Q320" t="s">
        <v>74</v>
      </c>
      <c r="R320" t="s">
        <v>74</v>
      </c>
      <c r="S320" t="s">
        <v>74</v>
      </c>
      <c r="T320" t="s">
        <v>74</v>
      </c>
      <c r="U320" t="s">
        <v>5485</v>
      </c>
      <c r="V320" t="s">
        <v>5486</v>
      </c>
      <c r="W320" t="s">
        <v>5487</v>
      </c>
      <c r="X320" t="s">
        <v>5488</v>
      </c>
      <c r="Y320" t="s">
        <v>5489</v>
      </c>
      <c r="Z320" t="s">
        <v>5490</v>
      </c>
      <c r="AA320" t="s">
        <v>74</v>
      </c>
      <c r="AB320" t="s">
        <v>74</v>
      </c>
      <c r="AC320" t="s">
        <v>74</v>
      </c>
      <c r="AD320" t="s">
        <v>74</v>
      </c>
      <c r="AE320" t="s">
        <v>74</v>
      </c>
      <c r="AF320" t="s">
        <v>74</v>
      </c>
      <c r="AG320">
        <v>42</v>
      </c>
      <c r="AH320">
        <v>15</v>
      </c>
      <c r="AI320">
        <v>18</v>
      </c>
      <c r="AJ320">
        <v>0</v>
      </c>
      <c r="AK320">
        <v>24</v>
      </c>
      <c r="AL320" t="s">
        <v>5428</v>
      </c>
      <c r="AM320" t="s">
        <v>1467</v>
      </c>
      <c r="AN320" t="s">
        <v>1819</v>
      </c>
      <c r="AO320" t="s">
        <v>5396</v>
      </c>
      <c r="AP320" t="s">
        <v>74</v>
      </c>
      <c r="AQ320" t="s">
        <v>74</v>
      </c>
      <c r="AR320" t="s">
        <v>5398</v>
      </c>
      <c r="AS320" t="s">
        <v>5399</v>
      </c>
      <c r="AT320" t="s">
        <v>74</v>
      </c>
      <c r="AU320">
        <v>2008</v>
      </c>
      <c r="AV320">
        <v>54</v>
      </c>
      <c r="AW320">
        <v>185</v>
      </c>
      <c r="AX320" t="s">
        <v>74</v>
      </c>
      <c r="AY320" t="s">
        <v>74</v>
      </c>
      <c r="AZ320" t="s">
        <v>74</v>
      </c>
      <c r="BA320" t="s">
        <v>74</v>
      </c>
      <c r="BB320">
        <v>362</v>
      </c>
      <c r="BC320">
        <v>370</v>
      </c>
      <c r="BD320" t="s">
        <v>74</v>
      </c>
      <c r="BE320" t="s">
        <v>5491</v>
      </c>
      <c r="BF320" t="str">
        <f>HYPERLINK("http://dx.doi.org/10.3189/002214308784886216","http://dx.doi.org/10.3189/002214308784886216")</f>
        <v>http://dx.doi.org/10.3189/002214308784886216</v>
      </c>
      <c r="BG320" t="s">
        <v>74</v>
      </c>
      <c r="BH320" t="s">
        <v>74</v>
      </c>
      <c r="BI320">
        <v>9</v>
      </c>
      <c r="BJ320" t="s">
        <v>2748</v>
      </c>
      <c r="BK320" t="s">
        <v>97</v>
      </c>
      <c r="BL320" t="s">
        <v>2749</v>
      </c>
      <c r="BM320" t="s">
        <v>5480</v>
      </c>
      <c r="BN320" t="s">
        <v>74</v>
      </c>
      <c r="BO320" t="s">
        <v>179</v>
      </c>
      <c r="BP320" t="s">
        <v>74</v>
      </c>
      <c r="BQ320" t="s">
        <v>74</v>
      </c>
      <c r="BR320" t="s">
        <v>100</v>
      </c>
      <c r="BS320" t="s">
        <v>5492</v>
      </c>
      <c r="BT320" t="str">
        <f>HYPERLINK("https%3A%2F%2Fwww.webofscience.com%2Fwos%2Fwoscc%2Ffull-record%2FWOS:000256949400017","View Full Record in Web of Science")</f>
        <v>View Full Record in Web of Science</v>
      </c>
    </row>
    <row r="321" spans="1:72" x14ac:dyDescent="0.15">
      <c r="A321" t="s">
        <v>72</v>
      </c>
      <c r="B321" t="s">
        <v>5493</v>
      </c>
      <c r="C321" t="s">
        <v>74</v>
      </c>
      <c r="D321" t="s">
        <v>74</v>
      </c>
      <c r="E321" t="s">
        <v>74</v>
      </c>
      <c r="F321" t="s">
        <v>5494</v>
      </c>
      <c r="G321" t="s">
        <v>74</v>
      </c>
      <c r="H321" t="s">
        <v>74</v>
      </c>
      <c r="I321" t="s">
        <v>5495</v>
      </c>
      <c r="J321" t="s">
        <v>5387</v>
      </c>
      <c r="K321" t="s">
        <v>74</v>
      </c>
      <c r="L321" t="s">
        <v>74</v>
      </c>
      <c r="M321" t="s">
        <v>78</v>
      </c>
      <c r="N321" t="s">
        <v>79</v>
      </c>
      <c r="O321" t="s">
        <v>74</v>
      </c>
      <c r="P321" t="s">
        <v>74</v>
      </c>
      <c r="Q321" t="s">
        <v>74</v>
      </c>
      <c r="R321" t="s">
        <v>74</v>
      </c>
      <c r="S321" t="s">
        <v>74</v>
      </c>
      <c r="T321" t="s">
        <v>74</v>
      </c>
      <c r="U321" t="s">
        <v>5496</v>
      </c>
      <c r="V321" t="s">
        <v>5497</v>
      </c>
      <c r="W321" t="s">
        <v>5498</v>
      </c>
      <c r="X321" t="s">
        <v>5499</v>
      </c>
      <c r="Y321" t="s">
        <v>5500</v>
      </c>
      <c r="Z321" t="s">
        <v>5501</v>
      </c>
      <c r="AA321" t="s">
        <v>5502</v>
      </c>
      <c r="AB321" t="s">
        <v>1138</v>
      </c>
      <c r="AC321" t="s">
        <v>5503</v>
      </c>
      <c r="AD321" t="s">
        <v>5504</v>
      </c>
      <c r="AE321" t="s">
        <v>5505</v>
      </c>
      <c r="AF321" t="s">
        <v>74</v>
      </c>
      <c r="AG321">
        <v>28</v>
      </c>
      <c r="AH321">
        <v>41</v>
      </c>
      <c r="AI321">
        <v>45</v>
      </c>
      <c r="AJ321">
        <v>0</v>
      </c>
      <c r="AK321">
        <v>19</v>
      </c>
      <c r="AL321" t="s">
        <v>2556</v>
      </c>
      <c r="AM321" t="s">
        <v>1467</v>
      </c>
      <c r="AN321" t="s">
        <v>2557</v>
      </c>
      <c r="AO321" t="s">
        <v>5396</v>
      </c>
      <c r="AP321" t="s">
        <v>5397</v>
      </c>
      <c r="AQ321" t="s">
        <v>74</v>
      </c>
      <c r="AR321" t="s">
        <v>5398</v>
      </c>
      <c r="AS321" t="s">
        <v>5399</v>
      </c>
      <c r="AT321" t="s">
        <v>74</v>
      </c>
      <c r="AU321">
        <v>2008</v>
      </c>
      <c r="AV321">
        <v>54</v>
      </c>
      <c r="AW321">
        <v>186</v>
      </c>
      <c r="AX321" t="s">
        <v>74</v>
      </c>
      <c r="AY321" t="s">
        <v>74</v>
      </c>
      <c r="AZ321" t="s">
        <v>74</v>
      </c>
      <c r="BA321" t="s">
        <v>74</v>
      </c>
      <c r="BB321">
        <v>445</v>
      </c>
      <c r="BC321">
        <v>451</v>
      </c>
      <c r="BD321" t="s">
        <v>74</v>
      </c>
      <c r="BE321" t="s">
        <v>5506</v>
      </c>
      <c r="BF321" t="str">
        <f>HYPERLINK("http://dx.doi.org/10.3189/002214308785836940","http://dx.doi.org/10.3189/002214308785836940")</f>
        <v>http://dx.doi.org/10.3189/002214308785836940</v>
      </c>
      <c r="BG321" t="s">
        <v>74</v>
      </c>
      <c r="BH321" t="s">
        <v>74</v>
      </c>
      <c r="BI321">
        <v>7</v>
      </c>
      <c r="BJ321" t="s">
        <v>2748</v>
      </c>
      <c r="BK321" t="s">
        <v>97</v>
      </c>
      <c r="BL321" t="s">
        <v>2749</v>
      </c>
      <c r="BM321" t="s">
        <v>5507</v>
      </c>
      <c r="BN321" t="s">
        <v>74</v>
      </c>
      <c r="BO321" t="s">
        <v>179</v>
      </c>
      <c r="BP321" t="s">
        <v>74</v>
      </c>
      <c r="BQ321" t="s">
        <v>74</v>
      </c>
      <c r="BR321" t="s">
        <v>100</v>
      </c>
      <c r="BS321" t="s">
        <v>5508</v>
      </c>
      <c r="BT321" t="str">
        <f>HYPERLINK("https%3A%2F%2Fwww.webofscience.com%2Fwos%2Fwoscc%2Ffull-record%2FWOS:000259107900007","View Full Record in Web of Science")</f>
        <v>View Full Record in Web of Science</v>
      </c>
    </row>
    <row r="322" spans="1:72" x14ac:dyDescent="0.15">
      <c r="A322" t="s">
        <v>72</v>
      </c>
      <c r="B322" t="s">
        <v>5509</v>
      </c>
      <c r="C322" t="s">
        <v>74</v>
      </c>
      <c r="D322" t="s">
        <v>74</v>
      </c>
      <c r="E322" t="s">
        <v>74</v>
      </c>
      <c r="F322" t="s">
        <v>5510</v>
      </c>
      <c r="G322" t="s">
        <v>74</v>
      </c>
      <c r="H322" t="s">
        <v>74</v>
      </c>
      <c r="I322" t="s">
        <v>5511</v>
      </c>
      <c r="J322" t="s">
        <v>5387</v>
      </c>
      <c r="K322" t="s">
        <v>74</v>
      </c>
      <c r="L322" t="s">
        <v>74</v>
      </c>
      <c r="M322" t="s">
        <v>78</v>
      </c>
      <c r="N322" t="s">
        <v>79</v>
      </c>
      <c r="O322" t="s">
        <v>74</v>
      </c>
      <c r="P322" t="s">
        <v>74</v>
      </c>
      <c r="Q322" t="s">
        <v>74</v>
      </c>
      <c r="R322" t="s">
        <v>74</v>
      </c>
      <c r="S322" t="s">
        <v>74</v>
      </c>
      <c r="T322" t="s">
        <v>74</v>
      </c>
      <c r="U322" t="s">
        <v>5512</v>
      </c>
      <c r="V322" t="s">
        <v>5513</v>
      </c>
      <c r="W322" t="s">
        <v>5514</v>
      </c>
      <c r="X322" t="s">
        <v>5515</v>
      </c>
      <c r="Y322" t="s">
        <v>5516</v>
      </c>
      <c r="Z322" t="s">
        <v>5517</v>
      </c>
      <c r="AA322" t="s">
        <v>74</v>
      </c>
      <c r="AB322" t="s">
        <v>74</v>
      </c>
      <c r="AC322" t="s">
        <v>5518</v>
      </c>
      <c r="AD322" t="s">
        <v>5519</v>
      </c>
      <c r="AE322" t="s">
        <v>5520</v>
      </c>
      <c r="AF322" t="s">
        <v>74</v>
      </c>
      <c r="AG322">
        <v>60</v>
      </c>
      <c r="AH322">
        <v>15</v>
      </c>
      <c r="AI322">
        <v>16</v>
      </c>
      <c r="AJ322">
        <v>0</v>
      </c>
      <c r="AK322">
        <v>4</v>
      </c>
      <c r="AL322" t="s">
        <v>2556</v>
      </c>
      <c r="AM322" t="s">
        <v>1467</v>
      </c>
      <c r="AN322" t="s">
        <v>2557</v>
      </c>
      <c r="AO322" t="s">
        <v>5396</v>
      </c>
      <c r="AP322" t="s">
        <v>5397</v>
      </c>
      <c r="AQ322" t="s">
        <v>74</v>
      </c>
      <c r="AR322" t="s">
        <v>5398</v>
      </c>
      <c r="AS322" t="s">
        <v>5399</v>
      </c>
      <c r="AT322" t="s">
        <v>74</v>
      </c>
      <c r="AU322">
        <v>2008</v>
      </c>
      <c r="AV322">
        <v>54</v>
      </c>
      <c r="AW322">
        <v>186</v>
      </c>
      <c r="AX322" t="s">
        <v>74</v>
      </c>
      <c r="AY322" t="s">
        <v>74</v>
      </c>
      <c r="AZ322" t="s">
        <v>74</v>
      </c>
      <c r="BA322" t="s">
        <v>74</v>
      </c>
      <c r="BB322">
        <v>487</v>
      </c>
      <c r="BC322">
        <v>498</v>
      </c>
      <c r="BD322" t="s">
        <v>74</v>
      </c>
      <c r="BE322" t="s">
        <v>5521</v>
      </c>
      <c r="BF322" t="str">
        <f>HYPERLINK("http://dx.doi.org/10.3189/002214308785837075","http://dx.doi.org/10.3189/002214308785837075")</f>
        <v>http://dx.doi.org/10.3189/002214308785837075</v>
      </c>
      <c r="BG322" t="s">
        <v>74</v>
      </c>
      <c r="BH322" t="s">
        <v>74</v>
      </c>
      <c r="BI322">
        <v>12</v>
      </c>
      <c r="BJ322" t="s">
        <v>2748</v>
      </c>
      <c r="BK322" t="s">
        <v>97</v>
      </c>
      <c r="BL322" t="s">
        <v>2749</v>
      </c>
      <c r="BM322" t="s">
        <v>5507</v>
      </c>
      <c r="BN322" t="s">
        <v>74</v>
      </c>
      <c r="BO322" t="s">
        <v>179</v>
      </c>
      <c r="BP322" t="s">
        <v>74</v>
      </c>
      <c r="BQ322" t="s">
        <v>74</v>
      </c>
      <c r="BR322" t="s">
        <v>100</v>
      </c>
      <c r="BS322" t="s">
        <v>5522</v>
      </c>
      <c r="BT322" t="str">
        <f>HYPERLINK("https%3A%2F%2Fwww.webofscience.com%2Fwos%2Fwoscc%2Ffull-record%2FWOS:000259107900012","View Full Record in Web of Science")</f>
        <v>View Full Record in Web of Science</v>
      </c>
    </row>
    <row r="323" spans="1:72" x14ac:dyDescent="0.15">
      <c r="A323" t="s">
        <v>72</v>
      </c>
      <c r="B323" t="s">
        <v>5523</v>
      </c>
      <c r="C323" t="s">
        <v>74</v>
      </c>
      <c r="D323" t="s">
        <v>74</v>
      </c>
      <c r="E323" t="s">
        <v>74</v>
      </c>
      <c r="F323" t="s">
        <v>5524</v>
      </c>
      <c r="G323" t="s">
        <v>74</v>
      </c>
      <c r="H323" t="s">
        <v>74</v>
      </c>
      <c r="I323" t="s">
        <v>5525</v>
      </c>
      <c r="J323" t="s">
        <v>5387</v>
      </c>
      <c r="K323" t="s">
        <v>74</v>
      </c>
      <c r="L323" t="s">
        <v>74</v>
      </c>
      <c r="M323" t="s">
        <v>78</v>
      </c>
      <c r="N323" t="s">
        <v>79</v>
      </c>
      <c r="O323" t="s">
        <v>74</v>
      </c>
      <c r="P323" t="s">
        <v>74</v>
      </c>
      <c r="Q323" t="s">
        <v>74</v>
      </c>
      <c r="R323" t="s">
        <v>74</v>
      </c>
      <c r="S323" t="s">
        <v>74</v>
      </c>
      <c r="T323" t="s">
        <v>74</v>
      </c>
      <c r="U323" t="s">
        <v>5526</v>
      </c>
      <c r="V323" t="s">
        <v>5527</v>
      </c>
      <c r="W323" t="s">
        <v>5528</v>
      </c>
      <c r="X323" t="s">
        <v>5529</v>
      </c>
      <c r="Y323" t="s">
        <v>5530</v>
      </c>
      <c r="Z323" t="s">
        <v>5531</v>
      </c>
      <c r="AA323" t="s">
        <v>5532</v>
      </c>
      <c r="AB323" t="s">
        <v>5533</v>
      </c>
      <c r="AC323" t="s">
        <v>5534</v>
      </c>
      <c r="AD323" t="s">
        <v>5535</v>
      </c>
      <c r="AE323" t="s">
        <v>5536</v>
      </c>
      <c r="AF323" t="s">
        <v>74</v>
      </c>
      <c r="AG323">
        <v>40</v>
      </c>
      <c r="AH323">
        <v>49</v>
      </c>
      <c r="AI323">
        <v>55</v>
      </c>
      <c r="AJ323">
        <v>0</v>
      </c>
      <c r="AK323">
        <v>22</v>
      </c>
      <c r="AL323" t="s">
        <v>2556</v>
      </c>
      <c r="AM323" t="s">
        <v>1467</v>
      </c>
      <c r="AN323" t="s">
        <v>2557</v>
      </c>
      <c r="AO323" t="s">
        <v>5396</v>
      </c>
      <c r="AP323" t="s">
        <v>5397</v>
      </c>
      <c r="AQ323" t="s">
        <v>74</v>
      </c>
      <c r="AR323" t="s">
        <v>5398</v>
      </c>
      <c r="AS323" t="s">
        <v>5399</v>
      </c>
      <c r="AT323" t="s">
        <v>74</v>
      </c>
      <c r="AU323">
        <v>2008</v>
      </c>
      <c r="AV323">
        <v>54</v>
      </c>
      <c r="AW323">
        <v>187</v>
      </c>
      <c r="AX323" t="s">
        <v>74</v>
      </c>
      <c r="AY323" t="s">
        <v>74</v>
      </c>
      <c r="AZ323" t="s">
        <v>74</v>
      </c>
      <c r="BA323" t="s">
        <v>74</v>
      </c>
      <c r="BB323">
        <v>579</v>
      </c>
      <c r="BC323">
        <v>591</v>
      </c>
      <c r="BD323" t="s">
        <v>74</v>
      </c>
      <c r="BE323" t="s">
        <v>5537</v>
      </c>
      <c r="BF323" t="str">
        <f>HYPERLINK("http://dx.doi.org/10.3189/002214308786570836","http://dx.doi.org/10.3189/002214308786570836")</f>
        <v>http://dx.doi.org/10.3189/002214308786570836</v>
      </c>
      <c r="BG323" t="s">
        <v>74</v>
      </c>
      <c r="BH323" t="s">
        <v>74</v>
      </c>
      <c r="BI323">
        <v>13</v>
      </c>
      <c r="BJ323" t="s">
        <v>2748</v>
      </c>
      <c r="BK323" t="s">
        <v>97</v>
      </c>
      <c r="BL323" t="s">
        <v>2749</v>
      </c>
      <c r="BM323" t="s">
        <v>5538</v>
      </c>
      <c r="BN323" t="s">
        <v>74</v>
      </c>
      <c r="BO323" t="s">
        <v>179</v>
      </c>
      <c r="BP323" t="s">
        <v>74</v>
      </c>
      <c r="BQ323" t="s">
        <v>74</v>
      </c>
      <c r="BR323" t="s">
        <v>100</v>
      </c>
      <c r="BS323" t="s">
        <v>5539</v>
      </c>
      <c r="BT323" t="str">
        <f>HYPERLINK("https%3A%2F%2Fwww.webofscience.com%2Fwos%2Fwoscc%2Ffull-record%2FWOS:000261076300002","View Full Record in Web of Science")</f>
        <v>View Full Record in Web of Science</v>
      </c>
    </row>
    <row r="324" spans="1:72" x14ac:dyDescent="0.15">
      <c r="A324" t="s">
        <v>72</v>
      </c>
      <c r="B324" t="s">
        <v>5540</v>
      </c>
      <c r="C324" t="s">
        <v>74</v>
      </c>
      <c r="D324" t="s">
        <v>74</v>
      </c>
      <c r="E324" t="s">
        <v>74</v>
      </c>
      <c r="F324" t="s">
        <v>5541</v>
      </c>
      <c r="G324" t="s">
        <v>74</v>
      </c>
      <c r="H324" t="s">
        <v>74</v>
      </c>
      <c r="I324" t="s">
        <v>5542</v>
      </c>
      <c r="J324" t="s">
        <v>5387</v>
      </c>
      <c r="K324" t="s">
        <v>74</v>
      </c>
      <c r="L324" t="s">
        <v>74</v>
      </c>
      <c r="M324" t="s">
        <v>78</v>
      </c>
      <c r="N324" t="s">
        <v>79</v>
      </c>
      <c r="O324" t="s">
        <v>74</v>
      </c>
      <c r="P324" t="s">
        <v>74</v>
      </c>
      <c r="Q324" t="s">
        <v>74</v>
      </c>
      <c r="R324" t="s">
        <v>74</v>
      </c>
      <c r="S324" t="s">
        <v>74</v>
      </c>
      <c r="T324" t="s">
        <v>74</v>
      </c>
      <c r="U324" t="s">
        <v>5543</v>
      </c>
      <c r="V324" t="s">
        <v>5544</v>
      </c>
      <c r="W324" t="s">
        <v>5545</v>
      </c>
      <c r="X324" t="s">
        <v>5546</v>
      </c>
      <c r="Y324" t="s">
        <v>5547</v>
      </c>
      <c r="Z324" t="s">
        <v>5548</v>
      </c>
      <c r="AA324" t="s">
        <v>5549</v>
      </c>
      <c r="AB324" t="s">
        <v>5550</v>
      </c>
      <c r="AC324" t="s">
        <v>5551</v>
      </c>
      <c r="AD324" t="s">
        <v>5552</v>
      </c>
      <c r="AE324" t="s">
        <v>5553</v>
      </c>
      <c r="AF324" t="s">
        <v>74</v>
      </c>
      <c r="AG324">
        <v>45</v>
      </c>
      <c r="AH324">
        <v>57</v>
      </c>
      <c r="AI324">
        <v>62</v>
      </c>
      <c r="AJ324">
        <v>2</v>
      </c>
      <c r="AK324">
        <v>60</v>
      </c>
      <c r="AL324" t="s">
        <v>2556</v>
      </c>
      <c r="AM324" t="s">
        <v>1467</v>
      </c>
      <c r="AN324" t="s">
        <v>2557</v>
      </c>
      <c r="AO324" t="s">
        <v>5396</v>
      </c>
      <c r="AP324" t="s">
        <v>5397</v>
      </c>
      <c r="AQ324" t="s">
        <v>74</v>
      </c>
      <c r="AR324" t="s">
        <v>5398</v>
      </c>
      <c r="AS324" t="s">
        <v>5399</v>
      </c>
      <c r="AT324" t="s">
        <v>74</v>
      </c>
      <c r="AU324">
        <v>2008</v>
      </c>
      <c r="AV324">
        <v>54</v>
      </c>
      <c r="AW324">
        <v>187</v>
      </c>
      <c r="AX324" t="s">
        <v>74</v>
      </c>
      <c r="AY324" t="s">
        <v>74</v>
      </c>
      <c r="AZ324" t="s">
        <v>74</v>
      </c>
      <c r="BA324" t="s">
        <v>74</v>
      </c>
      <c r="BB324">
        <v>661</v>
      </c>
      <c r="BC324">
        <v>672</v>
      </c>
      <c r="BD324" t="s">
        <v>74</v>
      </c>
      <c r="BE324" t="s">
        <v>5554</v>
      </c>
      <c r="BF324" t="str">
        <f>HYPERLINK("http://dx.doi.org/10.3189/002214308786570773","http://dx.doi.org/10.3189/002214308786570773")</f>
        <v>http://dx.doi.org/10.3189/002214308786570773</v>
      </c>
      <c r="BG324" t="s">
        <v>74</v>
      </c>
      <c r="BH324" t="s">
        <v>74</v>
      </c>
      <c r="BI324">
        <v>12</v>
      </c>
      <c r="BJ324" t="s">
        <v>2748</v>
      </c>
      <c r="BK324" t="s">
        <v>97</v>
      </c>
      <c r="BL324" t="s">
        <v>2749</v>
      </c>
      <c r="BM324" t="s">
        <v>5538</v>
      </c>
      <c r="BN324" t="s">
        <v>74</v>
      </c>
      <c r="BO324" t="s">
        <v>5555</v>
      </c>
      <c r="BP324" t="s">
        <v>74</v>
      </c>
      <c r="BQ324" t="s">
        <v>74</v>
      </c>
      <c r="BR324" t="s">
        <v>100</v>
      </c>
      <c r="BS324" t="s">
        <v>5556</v>
      </c>
      <c r="BT324" t="str">
        <f>HYPERLINK("https%3A%2F%2Fwww.webofscience.com%2Fwos%2Fwoscc%2Ffull-record%2FWOS:000261076300009","View Full Record in Web of Science")</f>
        <v>View Full Record in Web of Science</v>
      </c>
    </row>
    <row r="325" spans="1:72" x14ac:dyDescent="0.15">
      <c r="A325" t="s">
        <v>72</v>
      </c>
      <c r="B325" t="s">
        <v>5557</v>
      </c>
      <c r="C325" t="s">
        <v>74</v>
      </c>
      <c r="D325" t="s">
        <v>74</v>
      </c>
      <c r="E325" t="s">
        <v>74</v>
      </c>
      <c r="F325" t="s">
        <v>5558</v>
      </c>
      <c r="G325" t="s">
        <v>74</v>
      </c>
      <c r="H325" t="s">
        <v>74</v>
      </c>
      <c r="I325" t="s">
        <v>5559</v>
      </c>
      <c r="J325" t="s">
        <v>5387</v>
      </c>
      <c r="K325" t="s">
        <v>74</v>
      </c>
      <c r="L325" t="s">
        <v>74</v>
      </c>
      <c r="M325" t="s">
        <v>78</v>
      </c>
      <c r="N325" t="s">
        <v>79</v>
      </c>
      <c r="O325" t="s">
        <v>74</v>
      </c>
      <c r="P325" t="s">
        <v>74</v>
      </c>
      <c r="Q325" t="s">
        <v>74</v>
      </c>
      <c r="R325" t="s">
        <v>74</v>
      </c>
      <c r="S325" t="s">
        <v>74</v>
      </c>
      <c r="T325" t="s">
        <v>74</v>
      </c>
      <c r="U325" t="s">
        <v>5560</v>
      </c>
      <c r="V325" t="s">
        <v>5561</v>
      </c>
      <c r="W325" t="s">
        <v>5562</v>
      </c>
      <c r="X325" t="s">
        <v>5563</v>
      </c>
      <c r="Y325" t="s">
        <v>5564</v>
      </c>
      <c r="Z325" t="s">
        <v>5565</v>
      </c>
      <c r="AA325" t="s">
        <v>5566</v>
      </c>
      <c r="AB325" t="s">
        <v>5567</v>
      </c>
      <c r="AC325" t="s">
        <v>74</v>
      </c>
      <c r="AD325" t="s">
        <v>74</v>
      </c>
      <c r="AE325" t="s">
        <v>74</v>
      </c>
      <c r="AF325" t="s">
        <v>74</v>
      </c>
      <c r="AG325">
        <v>15</v>
      </c>
      <c r="AH325">
        <v>14</v>
      </c>
      <c r="AI325">
        <v>15</v>
      </c>
      <c r="AJ325">
        <v>0</v>
      </c>
      <c r="AK325">
        <v>5</v>
      </c>
      <c r="AL325" t="s">
        <v>2556</v>
      </c>
      <c r="AM325" t="s">
        <v>1467</v>
      </c>
      <c r="AN325" t="s">
        <v>2557</v>
      </c>
      <c r="AO325" t="s">
        <v>5396</v>
      </c>
      <c r="AP325" t="s">
        <v>5397</v>
      </c>
      <c r="AQ325" t="s">
        <v>74</v>
      </c>
      <c r="AR325" t="s">
        <v>5398</v>
      </c>
      <c r="AS325" t="s">
        <v>5399</v>
      </c>
      <c r="AT325" t="s">
        <v>74</v>
      </c>
      <c r="AU325">
        <v>2008</v>
      </c>
      <c r="AV325">
        <v>54</v>
      </c>
      <c r="AW325">
        <v>187</v>
      </c>
      <c r="AX325" t="s">
        <v>74</v>
      </c>
      <c r="AY325" t="s">
        <v>74</v>
      </c>
      <c r="AZ325" t="s">
        <v>74</v>
      </c>
      <c r="BA325" t="s">
        <v>74</v>
      </c>
      <c r="BB325">
        <v>680</v>
      </c>
      <c r="BC325">
        <v>684</v>
      </c>
      <c r="BD325" t="s">
        <v>74</v>
      </c>
      <c r="BE325" t="s">
        <v>5568</v>
      </c>
      <c r="BF325" t="str">
        <f>HYPERLINK("http://dx.doi.org/10.3189/002214308786570890","http://dx.doi.org/10.3189/002214308786570890")</f>
        <v>http://dx.doi.org/10.3189/002214308786570890</v>
      </c>
      <c r="BG325" t="s">
        <v>74</v>
      </c>
      <c r="BH325" t="s">
        <v>74</v>
      </c>
      <c r="BI325">
        <v>5</v>
      </c>
      <c r="BJ325" t="s">
        <v>2748</v>
      </c>
      <c r="BK325" t="s">
        <v>97</v>
      </c>
      <c r="BL325" t="s">
        <v>2749</v>
      </c>
      <c r="BM325" t="s">
        <v>5538</v>
      </c>
      <c r="BN325" t="s">
        <v>74</v>
      </c>
      <c r="BO325" t="s">
        <v>179</v>
      </c>
      <c r="BP325" t="s">
        <v>74</v>
      </c>
      <c r="BQ325" t="s">
        <v>74</v>
      </c>
      <c r="BR325" t="s">
        <v>100</v>
      </c>
      <c r="BS325" t="s">
        <v>5569</v>
      </c>
      <c r="BT325" t="str">
        <f>HYPERLINK("https%3A%2F%2Fwww.webofscience.com%2Fwos%2Fwoscc%2Ffull-record%2FWOS:000261076300011","View Full Record in Web of Science")</f>
        <v>View Full Record in Web of Science</v>
      </c>
    </row>
    <row r="326" spans="1:72" x14ac:dyDescent="0.15">
      <c r="A326" t="s">
        <v>72</v>
      </c>
      <c r="B326" t="s">
        <v>5570</v>
      </c>
      <c r="C326" t="s">
        <v>74</v>
      </c>
      <c r="D326" t="s">
        <v>74</v>
      </c>
      <c r="E326" t="s">
        <v>74</v>
      </c>
      <c r="F326" t="s">
        <v>5571</v>
      </c>
      <c r="G326" t="s">
        <v>74</v>
      </c>
      <c r="H326" t="s">
        <v>74</v>
      </c>
      <c r="I326" t="s">
        <v>5572</v>
      </c>
      <c r="J326" t="s">
        <v>5387</v>
      </c>
      <c r="K326" t="s">
        <v>74</v>
      </c>
      <c r="L326" t="s">
        <v>74</v>
      </c>
      <c r="M326" t="s">
        <v>78</v>
      </c>
      <c r="N326" t="s">
        <v>79</v>
      </c>
      <c r="O326" t="s">
        <v>74</v>
      </c>
      <c r="P326" t="s">
        <v>74</v>
      </c>
      <c r="Q326" t="s">
        <v>74</v>
      </c>
      <c r="R326" t="s">
        <v>74</v>
      </c>
      <c r="S326" t="s">
        <v>74</v>
      </c>
      <c r="T326" t="s">
        <v>74</v>
      </c>
      <c r="U326" t="s">
        <v>5573</v>
      </c>
      <c r="V326" t="s">
        <v>5574</v>
      </c>
      <c r="W326" t="s">
        <v>5575</v>
      </c>
      <c r="X326" t="s">
        <v>5576</v>
      </c>
      <c r="Y326" t="s">
        <v>5577</v>
      </c>
      <c r="Z326" t="s">
        <v>5578</v>
      </c>
      <c r="AA326" t="s">
        <v>5579</v>
      </c>
      <c r="AB326" t="s">
        <v>5580</v>
      </c>
      <c r="AC326" t="s">
        <v>5581</v>
      </c>
      <c r="AD326" t="s">
        <v>5582</v>
      </c>
      <c r="AE326" t="s">
        <v>5583</v>
      </c>
      <c r="AF326" t="s">
        <v>74</v>
      </c>
      <c r="AG326">
        <v>34</v>
      </c>
      <c r="AH326">
        <v>29</v>
      </c>
      <c r="AI326">
        <v>34</v>
      </c>
      <c r="AJ326">
        <v>0</v>
      </c>
      <c r="AK326">
        <v>7</v>
      </c>
      <c r="AL326" t="s">
        <v>2556</v>
      </c>
      <c r="AM326" t="s">
        <v>1467</v>
      </c>
      <c r="AN326" t="s">
        <v>2557</v>
      </c>
      <c r="AO326" t="s">
        <v>5396</v>
      </c>
      <c r="AP326" t="s">
        <v>5397</v>
      </c>
      <c r="AQ326" t="s">
        <v>74</v>
      </c>
      <c r="AR326" t="s">
        <v>5398</v>
      </c>
      <c r="AS326" t="s">
        <v>5399</v>
      </c>
      <c r="AT326" t="s">
        <v>74</v>
      </c>
      <c r="AU326">
        <v>2008</v>
      </c>
      <c r="AV326">
        <v>54</v>
      </c>
      <c r="AW326">
        <v>187</v>
      </c>
      <c r="AX326" t="s">
        <v>74</v>
      </c>
      <c r="AY326" t="s">
        <v>74</v>
      </c>
      <c r="AZ326" t="s">
        <v>74</v>
      </c>
      <c r="BA326" t="s">
        <v>74</v>
      </c>
      <c r="BB326">
        <v>715</v>
      </c>
      <c r="BC326">
        <v>724</v>
      </c>
      <c r="BD326" t="s">
        <v>74</v>
      </c>
      <c r="BE326" t="s">
        <v>5584</v>
      </c>
      <c r="BF326" t="str">
        <f>HYPERLINK("http://dx.doi.org/10.3189/002214308786570872","http://dx.doi.org/10.3189/002214308786570872")</f>
        <v>http://dx.doi.org/10.3189/002214308786570872</v>
      </c>
      <c r="BG326" t="s">
        <v>74</v>
      </c>
      <c r="BH326" t="s">
        <v>74</v>
      </c>
      <c r="BI326">
        <v>10</v>
      </c>
      <c r="BJ326" t="s">
        <v>2748</v>
      </c>
      <c r="BK326" t="s">
        <v>97</v>
      </c>
      <c r="BL326" t="s">
        <v>2749</v>
      </c>
      <c r="BM326" t="s">
        <v>5538</v>
      </c>
      <c r="BN326" t="s">
        <v>74</v>
      </c>
      <c r="BO326" t="s">
        <v>179</v>
      </c>
      <c r="BP326" t="s">
        <v>74</v>
      </c>
      <c r="BQ326" t="s">
        <v>74</v>
      </c>
      <c r="BR326" t="s">
        <v>100</v>
      </c>
      <c r="BS326" t="s">
        <v>5585</v>
      </c>
      <c r="BT326" t="str">
        <f>HYPERLINK("https%3A%2F%2Fwww.webofscience.com%2Fwos%2Fwoscc%2Ffull-record%2FWOS:000261076300015","View Full Record in Web of Science")</f>
        <v>View Full Record in Web of Science</v>
      </c>
    </row>
    <row r="327" spans="1:72" x14ac:dyDescent="0.15">
      <c r="A327" t="s">
        <v>72</v>
      </c>
      <c r="B327" t="s">
        <v>5586</v>
      </c>
      <c r="C327" t="s">
        <v>74</v>
      </c>
      <c r="D327" t="s">
        <v>74</v>
      </c>
      <c r="E327" t="s">
        <v>74</v>
      </c>
      <c r="F327" t="s">
        <v>5587</v>
      </c>
      <c r="G327" t="s">
        <v>74</v>
      </c>
      <c r="H327" t="s">
        <v>74</v>
      </c>
      <c r="I327" t="s">
        <v>5588</v>
      </c>
      <c r="J327" t="s">
        <v>5387</v>
      </c>
      <c r="K327" t="s">
        <v>74</v>
      </c>
      <c r="L327" t="s">
        <v>74</v>
      </c>
      <c r="M327" t="s">
        <v>78</v>
      </c>
      <c r="N327" t="s">
        <v>79</v>
      </c>
      <c r="O327" t="s">
        <v>74</v>
      </c>
      <c r="P327" t="s">
        <v>74</v>
      </c>
      <c r="Q327" t="s">
        <v>74</v>
      </c>
      <c r="R327" t="s">
        <v>74</v>
      </c>
      <c r="S327" t="s">
        <v>74</v>
      </c>
      <c r="T327" t="s">
        <v>74</v>
      </c>
      <c r="U327" t="s">
        <v>5589</v>
      </c>
      <c r="V327" t="s">
        <v>5590</v>
      </c>
      <c r="W327" t="s">
        <v>5591</v>
      </c>
      <c r="X327" t="s">
        <v>5592</v>
      </c>
      <c r="Y327" t="s">
        <v>5593</v>
      </c>
      <c r="Z327" t="s">
        <v>5594</v>
      </c>
      <c r="AA327" t="s">
        <v>5595</v>
      </c>
      <c r="AB327" t="s">
        <v>5596</v>
      </c>
      <c r="AC327" t="s">
        <v>74</v>
      </c>
      <c r="AD327" t="s">
        <v>74</v>
      </c>
      <c r="AE327" t="s">
        <v>74</v>
      </c>
      <c r="AF327" t="s">
        <v>74</v>
      </c>
      <c r="AG327">
        <v>27</v>
      </c>
      <c r="AH327">
        <v>11</v>
      </c>
      <c r="AI327">
        <v>16</v>
      </c>
      <c r="AJ327">
        <v>0</v>
      </c>
      <c r="AK327">
        <v>15</v>
      </c>
      <c r="AL327" t="s">
        <v>5428</v>
      </c>
      <c r="AM327" t="s">
        <v>1467</v>
      </c>
      <c r="AN327" t="s">
        <v>1819</v>
      </c>
      <c r="AO327" t="s">
        <v>5396</v>
      </c>
      <c r="AP327" t="s">
        <v>74</v>
      </c>
      <c r="AQ327" t="s">
        <v>74</v>
      </c>
      <c r="AR327" t="s">
        <v>5398</v>
      </c>
      <c r="AS327" t="s">
        <v>5399</v>
      </c>
      <c r="AT327" t="s">
        <v>74</v>
      </c>
      <c r="AU327">
        <v>2008</v>
      </c>
      <c r="AV327">
        <v>54</v>
      </c>
      <c r="AW327">
        <v>187</v>
      </c>
      <c r="AX327" t="s">
        <v>74</v>
      </c>
      <c r="AY327" t="s">
        <v>74</v>
      </c>
      <c r="AZ327" t="s">
        <v>74</v>
      </c>
      <c r="BA327" t="s">
        <v>74</v>
      </c>
      <c r="BB327">
        <v>753</v>
      </c>
      <c r="BC327">
        <v>762</v>
      </c>
      <c r="BD327" t="s">
        <v>74</v>
      </c>
      <c r="BE327" t="s">
        <v>5597</v>
      </c>
      <c r="BF327" t="str">
        <f>HYPERLINK("http://dx.doi.org/10.3189/002214308786570863","http://dx.doi.org/10.3189/002214308786570863")</f>
        <v>http://dx.doi.org/10.3189/002214308786570863</v>
      </c>
      <c r="BG327" t="s">
        <v>74</v>
      </c>
      <c r="BH327" t="s">
        <v>74</v>
      </c>
      <c r="BI327">
        <v>10</v>
      </c>
      <c r="BJ327" t="s">
        <v>2748</v>
      </c>
      <c r="BK327" t="s">
        <v>97</v>
      </c>
      <c r="BL327" t="s">
        <v>2749</v>
      </c>
      <c r="BM327" t="s">
        <v>5538</v>
      </c>
      <c r="BN327" t="s">
        <v>74</v>
      </c>
      <c r="BO327" t="s">
        <v>610</v>
      </c>
      <c r="BP327" t="s">
        <v>74</v>
      </c>
      <c r="BQ327" t="s">
        <v>74</v>
      </c>
      <c r="BR327" t="s">
        <v>100</v>
      </c>
      <c r="BS327" t="s">
        <v>5598</v>
      </c>
      <c r="BT327" t="str">
        <f>HYPERLINK("https%3A%2F%2Fwww.webofscience.com%2Fwos%2Fwoscc%2Ffull-record%2FWOS:000261076300018","View Full Record in Web of Science")</f>
        <v>View Full Record in Web of Science</v>
      </c>
    </row>
    <row r="328" spans="1:72" x14ac:dyDescent="0.15">
      <c r="A328" t="s">
        <v>72</v>
      </c>
      <c r="B328" t="s">
        <v>5599</v>
      </c>
      <c r="C328" t="s">
        <v>74</v>
      </c>
      <c r="D328" t="s">
        <v>74</v>
      </c>
      <c r="E328" t="s">
        <v>74</v>
      </c>
      <c r="F328" t="s">
        <v>5600</v>
      </c>
      <c r="G328" t="s">
        <v>74</v>
      </c>
      <c r="H328" t="s">
        <v>74</v>
      </c>
      <c r="I328" t="s">
        <v>5601</v>
      </c>
      <c r="J328" t="s">
        <v>5387</v>
      </c>
      <c r="K328" t="s">
        <v>74</v>
      </c>
      <c r="L328" t="s">
        <v>74</v>
      </c>
      <c r="M328" t="s">
        <v>78</v>
      </c>
      <c r="N328" t="s">
        <v>79</v>
      </c>
      <c r="O328" t="s">
        <v>74</v>
      </c>
      <c r="P328" t="s">
        <v>74</v>
      </c>
      <c r="Q328" t="s">
        <v>74</v>
      </c>
      <c r="R328" t="s">
        <v>74</v>
      </c>
      <c r="S328" t="s">
        <v>74</v>
      </c>
      <c r="T328" t="s">
        <v>74</v>
      </c>
      <c r="U328" t="s">
        <v>5602</v>
      </c>
      <c r="V328" t="s">
        <v>5603</v>
      </c>
      <c r="W328" t="s">
        <v>5604</v>
      </c>
      <c r="X328" t="s">
        <v>5605</v>
      </c>
      <c r="Y328" t="s">
        <v>5606</v>
      </c>
      <c r="Z328" t="s">
        <v>5607</v>
      </c>
      <c r="AA328" t="s">
        <v>5608</v>
      </c>
      <c r="AB328" t="s">
        <v>5609</v>
      </c>
      <c r="AC328" t="s">
        <v>5610</v>
      </c>
      <c r="AD328" t="s">
        <v>5611</v>
      </c>
      <c r="AE328" t="s">
        <v>5612</v>
      </c>
      <c r="AF328" t="s">
        <v>74</v>
      </c>
      <c r="AG328">
        <v>27</v>
      </c>
      <c r="AH328">
        <v>12</v>
      </c>
      <c r="AI328">
        <v>13</v>
      </c>
      <c r="AJ328">
        <v>0</v>
      </c>
      <c r="AK328">
        <v>5</v>
      </c>
      <c r="AL328" t="s">
        <v>2556</v>
      </c>
      <c r="AM328" t="s">
        <v>1467</v>
      </c>
      <c r="AN328" t="s">
        <v>2557</v>
      </c>
      <c r="AO328" t="s">
        <v>5396</v>
      </c>
      <c r="AP328" t="s">
        <v>5397</v>
      </c>
      <c r="AQ328" t="s">
        <v>74</v>
      </c>
      <c r="AR328" t="s">
        <v>5398</v>
      </c>
      <c r="AS328" t="s">
        <v>5399</v>
      </c>
      <c r="AT328" t="s">
        <v>74</v>
      </c>
      <c r="AU328">
        <v>2008</v>
      </c>
      <c r="AV328">
        <v>54</v>
      </c>
      <c r="AW328">
        <v>188</v>
      </c>
      <c r="AX328" t="s">
        <v>74</v>
      </c>
      <c r="AY328" t="s">
        <v>74</v>
      </c>
      <c r="AZ328" t="s">
        <v>74</v>
      </c>
      <c r="BA328" t="s">
        <v>74</v>
      </c>
      <c r="BB328">
        <v>831</v>
      </c>
      <c r="BC328">
        <v>838</v>
      </c>
      <c r="BD328" t="s">
        <v>74</v>
      </c>
      <c r="BE328" t="s">
        <v>5613</v>
      </c>
      <c r="BF328" t="str">
        <f>HYPERLINK("http://dx.doi.org/10.3189/002214308787780021","http://dx.doi.org/10.3189/002214308787780021")</f>
        <v>http://dx.doi.org/10.3189/002214308787780021</v>
      </c>
      <c r="BG328" t="s">
        <v>74</v>
      </c>
      <c r="BH328" t="s">
        <v>74</v>
      </c>
      <c r="BI328">
        <v>8</v>
      </c>
      <c r="BJ328" t="s">
        <v>2748</v>
      </c>
      <c r="BK328" t="s">
        <v>97</v>
      </c>
      <c r="BL328" t="s">
        <v>2749</v>
      </c>
      <c r="BM328" t="s">
        <v>5614</v>
      </c>
      <c r="BN328" t="s">
        <v>74</v>
      </c>
      <c r="BO328" t="s">
        <v>179</v>
      </c>
      <c r="BP328" t="s">
        <v>74</v>
      </c>
      <c r="BQ328" t="s">
        <v>74</v>
      </c>
      <c r="BR328" t="s">
        <v>100</v>
      </c>
      <c r="BS328" t="s">
        <v>5615</v>
      </c>
      <c r="BT328" t="str">
        <f>HYPERLINK("https%3A%2F%2Fwww.webofscience.com%2Fwos%2Fwoscc%2Ffull-record%2FWOS:000264036800007","View Full Record in Web of Science")</f>
        <v>View Full Record in Web of Science</v>
      </c>
    </row>
    <row r="329" spans="1:72" x14ac:dyDescent="0.15">
      <c r="A329" t="s">
        <v>72</v>
      </c>
      <c r="B329" t="s">
        <v>5616</v>
      </c>
      <c r="C329" t="s">
        <v>74</v>
      </c>
      <c r="D329" t="s">
        <v>74</v>
      </c>
      <c r="E329" t="s">
        <v>74</v>
      </c>
      <c r="F329" t="s">
        <v>5617</v>
      </c>
      <c r="G329" t="s">
        <v>74</v>
      </c>
      <c r="H329" t="s">
        <v>74</v>
      </c>
      <c r="I329" t="s">
        <v>5618</v>
      </c>
      <c r="J329" t="s">
        <v>5387</v>
      </c>
      <c r="K329" t="s">
        <v>74</v>
      </c>
      <c r="L329" t="s">
        <v>74</v>
      </c>
      <c r="M329" t="s">
        <v>78</v>
      </c>
      <c r="N329" t="s">
        <v>2891</v>
      </c>
      <c r="O329" t="s">
        <v>74</v>
      </c>
      <c r="P329" t="s">
        <v>74</v>
      </c>
      <c r="Q329" t="s">
        <v>74</v>
      </c>
      <c r="R329" t="s">
        <v>74</v>
      </c>
      <c r="S329" t="s">
        <v>74</v>
      </c>
      <c r="T329" t="s">
        <v>74</v>
      </c>
      <c r="U329" t="s">
        <v>5619</v>
      </c>
      <c r="V329" t="s">
        <v>74</v>
      </c>
      <c r="W329" t="s">
        <v>5620</v>
      </c>
      <c r="X329" t="s">
        <v>5621</v>
      </c>
      <c r="Y329" t="s">
        <v>5622</v>
      </c>
      <c r="Z329" t="s">
        <v>5623</v>
      </c>
      <c r="AA329" t="s">
        <v>74</v>
      </c>
      <c r="AB329" t="s">
        <v>5624</v>
      </c>
      <c r="AC329" t="s">
        <v>5625</v>
      </c>
      <c r="AD329" t="s">
        <v>242</v>
      </c>
      <c r="AE329" t="s">
        <v>74</v>
      </c>
      <c r="AF329" t="s">
        <v>74</v>
      </c>
      <c r="AG329">
        <v>9</v>
      </c>
      <c r="AH329">
        <v>2</v>
      </c>
      <c r="AI329">
        <v>2</v>
      </c>
      <c r="AJ329">
        <v>0</v>
      </c>
      <c r="AK329">
        <v>4</v>
      </c>
      <c r="AL329" t="s">
        <v>5428</v>
      </c>
      <c r="AM329" t="s">
        <v>1467</v>
      </c>
      <c r="AN329" t="s">
        <v>1819</v>
      </c>
      <c r="AO329" t="s">
        <v>5396</v>
      </c>
      <c r="AP329" t="s">
        <v>74</v>
      </c>
      <c r="AQ329" t="s">
        <v>74</v>
      </c>
      <c r="AR329" t="s">
        <v>5398</v>
      </c>
      <c r="AS329" t="s">
        <v>5399</v>
      </c>
      <c r="AT329" t="s">
        <v>74</v>
      </c>
      <c r="AU329">
        <v>2008</v>
      </c>
      <c r="AV329">
        <v>54</v>
      </c>
      <c r="AW329">
        <v>188</v>
      </c>
      <c r="AX329" t="s">
        <v>74</v>
      </c>
      <c r="AY329" t="s">
        <v>74</v>
      </c>
      <c r="AZ329" t="s">
        <v>74</v>
      </c>
      <c r="BA329" t="s">
        <v>74</v>
      </c>
      <c r="BB329">
        <v>936</v>
      </c>
      <c r="BC329">
        <v>938</v>
      </c>
      <c r="BD329" t="s">
        <v>74</v>
      </c>
      <c r="BE329" t="s">
        <v>5626</v>
      </c>
      <c r="BF329" t="str">
        <f>HYPERLINK("http://dx.doi.org/10.3189/002214308787780030","http://dx.doi.org/10.3189/002214308787780030")</f>
        <v>http://dx.doi.org/10.3189/002214308787780030</v>
      </c>
      <c r="BG329" t="s">
        <v>74</v>
      </c>
      <c r="BH329" t="s">
        <v>74</v>
      </c>
      <c r="BI329">
        <v>3</v>
      </c>
      <c r="BJ329" t="s">
        <v>2748</v>
      </c>
      <c r="BK329" t="s">
        <v>97</v>
      </c>
      <c r="BL329" t="s">
        <v>2749</v>
      </c>
      <c r="BM329" t="s">
        <v>5614</v>
      </c>
      <c r="BN329" t="s">
        <v>74</v>
      </c>
      <c r="BO329" t="s">
        <v>179</v>
      </c>
      <c r="BP329" t="s">
        <v>74</v>
      </c>
      <c r="BQ329" t="s">
        <v>74</v>
      </c>
      <c r="BR329" t="s">
        <v>100</v>
      </c>
      <c r="BS329" t="s">
        <v>5627</v>
      </c>
      <c r="BT329" t="str">
        <f>HYPERLINK("https%3A%2F%2Fwww.webofscience.com%2Fwos%2Fwoscc%2Ffull-record%2FWOS:000264036800017","View Full Record in Web of Science")</f>
        <v>View Full Record in Web of Science</v>
      </c>
    </row>
    <row r="330" spans="1:72" x14ac:dyDescent="0.15">
      <c r="A330" t="s">
        <v>72</v>
      </c>
      <c r="B330" t="s">
        <v>5628</v>
      </c>
      <c r="C330" t="s">
        <v>74</v>
      </c>
      <c r="D330" t="s">
        <v>74</v>
      </c>
      <c r="E330" t="s">
        <v>74</v>
      </c>
      <c r="F330" t="s">
        <v>5629</v>
      </c>
      <c r="G330" t="s">
        <v>74</v>
      </c>
      <c r="H330" t="s">
        <v>74</v>
      </c>
      <c r="I330" t="s">
        <v>5630</v>
      </c>
      <c r="J330" t="s">
        <v>5631</v>
      </c>
      <c r="K330" t="s">
        <v>74</v>
      </c>
      <c r="L330" t="s">
        <v>74</v>
      </c>
      <c r="M330" t="s">
        <v>78</v>
      </c>
      <c r="N330" t="s">
        <v>106</v>
      </c>
      <c r="O330" t="s">
        <v>74</v>
      </c>
      <c r="P330" t="s">
        <v>74</v>
      </c>
      <c r="Q330" t="s">
        <v>74</v>
      </c>
      <c r="R330" t="s">
        <v>74</v>
      </c>
      <c r="S330" t="s">
        <v>74</v>
      </c>
      <c r="T330" t="s">
        <v>5632</v>
      </c>
      <c r="U330" t="s">
        <v>5633</v>
      </c>
      <c r="V330" t="s">
        <v>5634</v>
      </c>
      <c r="W330" t="s">
        <v>5635</v>
      </c>
      <c r="X330" t="s">
        <v>5636</v>
      </c>
      <c r="Y330" t="s">
        <v>5637</v>
      </c>
      <c r="Z330" t="s">
        <v>5638</v>
      </c>
      <c r="AA330" t="s">
        <v>5639</v>
      </c>
      <c r="AB330" t="s">
        <v>5640</v>
      </c>
      <c r="AC330" t="s">
        <v>5641</v>
      </c>
      <c r="AD330" t="s">
        <v>5642</v>
      </c>
      <c r="AE330" t="s">
        <v>74</v>
      </c>
      <c r="AF330" t="s">
        <v>74</v>
      </c>
      <c r="AG330">
        <v>109</v>
      </c>
      <c r="AH330">
        <v>24</v>
      </c>
      <c r="AI330">
        <v>25</v>
      </c>
      <c r="AJ330">
        <v>0</v>
      </c>
      <c r="AK330">
        <v>18</v>
      </c>
      <c r="AL330" t="s">
        <v>1219</v>
      </c>
      <c r="AM330" t="s">
        <v>89</v>
      </c>
      <c r="AN330" t="s">
        <v>90</v>
      </c>
      <c r="AO330" t="s">
        <v>5643</v>
      </c>
      <c r="AP330" t="s">
        <v>5644</v>
      </c>
      <c r="AQ330" t="s">
        <v>74</v>
      </c>
      <c r="AR330" t="s">
        <v>5645</v>
      </c>
      <c r="AS330" t="s">
        <v>5646</v>
      </c>
      <c r="AT330" t="s">
        <v>1490</v>
      </c>
      <c r="AU330">
        <v>2008</v>
      </c>
      <c r="AV330">
        <v>269</v>
      </c>
      <c r="AW330">
        <v>1</v>
      </c>
      <c r="AX330" t="s">
        <v>74</v>
      </c>
      <c r="AY330" t="s">
        <v>74</v>
      </c>
      <c r="AZ330" t="s">
        <v>74</v>
      </c>
      <c r="BA330" t="s">
        <v>74</v>
      </c>
      <c r="BB330">
        <v>84</v>
      </c>
      <c r="BC330">
        <v>103</v>
      </c>
      <c r="BD330" t="s">
        <v>74</v>
      </c>
      <c r="BE330" t="s">
        <v>5647</v>
      </c>
      <c r="BF330" t="str">
        <f>HYPERLINK("http://dx.doi.org/10.1002/jmor.10571","http://dx.doi.org/10.1002/jmor.10571")</f>
        <v>http://dx.doi.org/10.1002/jmor.10571</v>
      </c>
      <c r="BG330" t="s">
        <v>74</v>
      </c>
      <c r="BH330" t="s">
        <v>74</v>
      </c>
      <c r="BI330">
        <v>20</v>
      </c>
      <c r="BJ330" t="s">
        <v>5648</v>
      </c>
      <c r="BK330" t="s">
        <v>97</v>
      </c>
      <c r="BL330" t="s">
        <v>5648</v>
      </c>
      <c r="BM330" t="s">
        <v>5649</v>
      </c>
      <c r="BN330">
        <v>17902153</v>
      </c>
      <c r="BO330" t="s">
        <v>179</v>
      </c>
      <c r="BP330" t="s">
        <v>74</v>
      </c>
      <c r="BQ330" t="s">
        <v>74</v>
      </c>
      <c r="BR330" t="s">
        <v>100</v>
      </c>
      <c r="BS330" t="s">
        <v>5650</v>
      </c>
      <c r="BT330" t="str">
        <f>HYPERLINK("https%3A%2F%2Fwww.webofscience.com%2Fwos%2Fwoscc%2Ffull-record%2FWOS:000252198000007","View Full Record in Web of Science")</f>
        <v>View Full Record in Web of Science</v>
      </c>
    </row>
    <row r="331" spans="1:72" x14ac:dyDescent="0.15">
      <c r="A331" t="s">
        <v>72</v>
      </c>
      <c r="B331" t="s">
        <v>5651</v>
      </c>
      <c r="C331" t="s">
        <v>74</v>
      </c>
      <c r="D331" t="s">
        <v>74</v>
      </c>
      <c r="E331" t="s">
        <v>74</v>
      </c>
      <c r="F331" t="s">
        <v>5652</v>
      </c>
      <c r="G331" t="s">
        <v>74</v>
      </c>
      <c r="H331" t="s">
        <v>74</v>
      </c>
      <c r="I331" t="s">
        <v>5653</v>
      </c>
      <c r="J331" t="s">
        <v>5654</v>
      </c>
      <c r="K331" t="s">
        <v>74</v>
      </c>
      <c r="L331" t="s">
        <v>74</v>
      </c>
      <c r="M331" t="s">
        <v>78</v>
      </c>
      <c r="N331" t="s">
        <v>79</v>
      </c>
      <c r="O331" t="s">
        <v>74</v>
      </c>
      <c r="P331" t="s">
        <v>74</v>
      </c>
      <c r="Q331" t="s">
        <v>74</v>
      </c>
      <c r="R331" t="s">
        <v>74</v>
      </c>
      <c r="S331" t="s">
        <v>74</v>
      </c>
      <c r="T331" t="s">
        <v>5655</v>
      </c>
      <c r="U331" t="s">
        <v>5656</v>
      </c>
      <c r="V331" t="s">
        <v>5657</v>
      </c>
      <c r="W331" t="s">
        <v>5658</v>
      </c>
      <c r="X331" t="s">
        <v>5659</v>
      </c>
      <c r="Y331" t="s">
        <v>5660</v>
      </c>
      <c r="Z331" t="s">
        <v>5661</v>
      </c>
      <c r="AA331" t="s">
        <v>74</v>
      </c>
      <c r="AB331" t="s">
        <v>74</v>
      </c>
      <c r="AC331" t="s">
        <v>74</v>
      </c>
      <c r="AD331" t="s">
        <v>74</v>
      </c>
      <c r="AE331" t="s">
        <v>74</v>
      </c>
      <c r="AF331" t="s">
        <v>74</v>
      </c>
      <c r="AG331">
        <v>41</v>
      </c>
      <c r="AH331">
        <v>53</v>
      </c>
      <c r="AI331">
        <v>55</v>
      </c>
      <c r="AJ331">
        <v>1</v>
      </c>
      <c r="AK331">
        <v>11</v>
      </c>
      <c r="AL331" t="s">
        <v>1331</v>
      </c>
      <c r="AM331" t="s">
        <v>1421</v>
      </c>
      <c r="AN331" t="s">
        <v>1422</v>
      </c>
      <c r="AO331" t="s">
        <v>5662</v>
      </c>
      <c r="AP331" t="s">
        <v>74</v>
      </c>
      <c r="AQ331" t="s">
        <v>74</v>
      </c>
      <c r="AR331" t="s">
        <v>5663</v>
      </c>
      <c r="AS331" t="s">
        <v>5664</v>
      </c>
      <c r="AT331" t="s">
        <v>74</v>
      </c>
      <c r="AU331">
        <v>2008</v>
      </c>
      <c r="AV331">
        <v>42</v>
      </c>
      <c r="AW331" t="s">
        <v>5665</v>
      </c>
      <c r="AX331" t="s">
        <v>74</v>
      </c>
      <c r="AY331" t="s">
        <v>74</v>
      </c>
      <c r="AZ331" t="s">
        <v>74</v>
      </c>
      <c r="BA331" t="s">
        <v>74</v>
      </c>
      <c r="BB331">
        <v>979</v>
      </c>
      <c r="BC331">
        <v>1012</v>
      </c>
      <c r="BD331" t="s">
        <v>74</v>
      </c>
      <c r="BE331" t="s">
        <v>5666</v>
      </c>
      <c r="BF331" t="str">
        <f>HYPERLINK("http://dx.doi.org/10.1080/00222930701877540","http://dx.doi.org/10.1080/00222930701877540")</f>
        <v>http://dx.doi.org/10.1080/00222930701877540</v>
      </c>
      <c r="BG331" t="s">
        <v>74</v>
      </c>
      <c r="BH331" t="s">
        <v>74</v>
      </c>
      <c r="BI331">
        <v>34</v>
      </c>
      <c r="BJ331" t="s">
        <v>5667</v>
      </c>
      <c r="BK331" t="s">
        <v>97</v>
      </c>
      <c r="BL331" t="s">
        <v>5668</v>
      </c>
      <c r="BM331" t="s">
        <v>5669</v>
      </c>
      <c r="BN331" t="s">
        <v>74</v>
      </c>
      <c r="BO331" t="s">
        <v>74</v>
      </c>
      <c r="BP331" t="s">
        <v>74</v>
      </c>
      <c r="BQ331" t="s">
        <v>74</v>
      </c>
      <c r="BR331" t="s">
        <v>100</v>
      </c>
      <c r="BS331" t="s">
        <v>5670</v>
      </c>
      <c r="BT331" t="str">
        <f>HYPERLINK("https%3A%2F%2Fwww.webofscience.com%2Fwos%2Fwoscc%2Ffull-record%2FWOS:000256965100001","View Full Record in Web of Science")</f>
        <v>View Full Record in Web of Science</v>
      </c>
    </row>
    <row r="332" spans="1:72" x14ac:dyDescent="0.15">
      <c r="A332" t="s">
        <v>72</v>
      </c>
      <c r="B332" t="s">
        <v>5671</v>
      </c>
      <c r="C332" t="s">
        <v>74</v>
      </c>
      <c r="D332" t="s">
        <v>74</v>
      </c>
      <c r="E332" t="s">
        <v>74</v>
      </c>
      <c r="F332" t="s">
        <v>5672</v>
      </c>
      <c r="G332" t="s">
        <v>74</v>
      </c>
      <c r="H332" t="s">
        <v>74</v>
      </c>
      <c r="I332" t="s">
        <v>5673</v>
      </c>
      <c r="J332" t="s">
        <v>5654</v>
      </c>
      <c r="K332" t="s">
        <v>74</v>
      </c>
      <c r="L332" t="s">
        <v>74</v>
      </c>
      <c r="M332" t="s">
        <v>78</v>
      </c>
      <c r="N332" t="s">
        <v>79</v>
      </c>
      <c r="O332" t="s">
        <v>74</v>
      </c>
      <c r="P332" t="s">
        <v>74</v>
      </c>
      <c r="Q332" t="s">
        <v>74</v>
      </c>
      <c r="R332" t="s">
        <v>74</v>
      </c>
      <c r="S332" t="s">
        <v>74</v>
      </c>
      <c r="T332" t="s">
        <v>5674</v>
      </c>
      <c r="U332" t="s">
        <v>5675</v>
      </c>
      <c r="V332" t="s">
        <v>5676</v>
      </c>
      <c r="W332" t="s">
        <v>5677</v>
      </c>
      <c r="X332" t="s">
        <v>5678</v>
      </c>
      <c r="Y332" t="s">
        <v>5679</v>
      </c>
      <c r="Z332" t="s">
        <v>5680</v>
      </c>
      <c r="AA332" t="s">
        <v>5681</v>
      </c>
      <c r="AB332" t="s">
        <v>5682</v>
      </c>
      <c r="AC332" t="s">
        <v>5683</v>
      </c>
      <c r="AD332" t="s">
        <v>937</v>
      </c>
      <c r="AE332" t="s">
        <v>5684</v>
      </c>
      <c r="AF332" t="s">
        <v>74</v>
      </c>
      <c r="AG332">
        <v>45</v>
      </c>
      <c r="AH332">
        <v>12</v>
      </c>
      <c r="AI332">
        <v>14</v>
      </c>
      <c r="AJ332">
        <v>0</v>
      </c>
      <c r="AK332">
        <v>2</v>
      </c>
      <c r="AL332" t="s">
        <v>1331</v>
      </c>
      <c r="AM332" t="s">
        <v>1421</v>
      </c>
      <c r="AN332" t="s">
        <v>2160</v>
      </c>
      <c r="AO332" t="s">
        <v>5662</v>
      </c>
      <c r="AP332" t="s">
        <v>5685</v>
      </c>
      <c r="AQ332" t="s">
        <v>74</v>
      </c>
      <c r="AR332" t="s">
        <v>5663</v>
      </c>
      <c r="AS332" t="s">
        <v>5664</v>
      </c>
      <c r="AT332" t="s">
        <v>74</v>
      </c>
      <c r="AU332">
        <v>2008</v>
      </c>
      <c r="AV332">
        <v>42</v>
      </c>
      <c r="AW332" t="s">
        <v>5686</v>
      </c>
      <c r="AX332" t="s">
        <v>74</v>
      </c>
      <c r="AY332" t="s">
        <v>74</v>
      </c>
      <c r="AZ332" t="s">
        <v>74</v>
      </c>
      <c r="BA332" t="s">
        <v>74</v>
      </c>
      <c r="BB332">
        <v>2417</v>
      </c>
      <c r="BC332">
        <v>2441</v>
      </c>
      <c r="BD332" t="s">
        <v>74</v>
      </c>
      <c r="BE332" t="s">
        <v>5687</v>
      </c>
      <c r="BF332" t="str">
        <f>HYPERLINK("http://dx.doi.org/10.1080/00222930802254771","http://dx.doi.org/10.1080/00222930802254771")</f>
        <v>http://dx.doi.org/10.1080/00222930802254771</v>
      </c>
      <c r="BG332" t="s">
        <v>74</v>
      </c>
      <c r="BH332" t="s">
        <v>74</v>
      </c>
      <c r="BI332">
        <v>25</v>
      </c>
      <c r="BJ332" t="s">
        <v>5667</v>
      </c>
      <c r="BK332" t="s">
        <v>97</v>
      </c>
      <c r="BL332" t="s">
        <v>5668</v>
      </c>
      <c r="BM332" t="s">
        <v>5688</v>
      </c>
      <c r="BN332" t="s">
        <v>74</v>
      </c>
      <c r="BO332" t="s">
        <v>74</v>
      </c>
      <c r="BP332" t="s">
        <v>74</v>
      </c>
      <c r="BQ332" t="s">
        <v>74</v>
      </c>
      <c r="BR332" t="s">
        <v>100</v>
      </c>
      <c r="BS332" t="s">
        <v>5689</v>
      </c>
      <c r="BT332" t="str">
        <f>HYPERLINK("https%3A%2F%2Fwww.webofscience.com%2Fwos%2Fwoscc%2Ffull-record%2FWOS:000259598700002","View Full Record in Web of Science")</f>
        <v>View Full Record in Web of Science</v>
      </c>
    </row>
    <row r="333" spans="1:72" x14ac:dyDescent="0.15">
      <c r="A333" t="s">
        <v>72</v>
      </c>
      <c r="B333" t="s">
        <v>5690</v>
      </c>
      <c r="C333" t="s">
        <v>74</v>
      </c>
      <c r="D333" t="s">
        <v>74</v>
      </c>
      <c r="E333" t="s">
        <v>74</v>
      </c>
      <c r="F333" t="s">
        <v>5691</v>
      </c>
      <c r="G333" t="s">
        <v>74</v>
      </c>
      <c r="H333" t="s">
        <v>74</v>
      </c>
      <c r="I333" t="s">
        <v>5692</v>
      </c>
      <c r="J333" t="s">
        <v>5693</v>
      </c>
      <c r="K333" t="s">
        <v>74</v>
      </c>
      <c r="L333" t="s">
        <v>74</v>
      </c>
      <c r="M333" t="s">
        <v>78</v>
      </c>
      <c r="N333" t="s">
        <v>79</v>
      </c>
      <c r="O333" t="s">
        <v>74</v>
      </c>
      <c r="P333" t="s">
        <v>74</v>
      </c>
      <c r="Q333" t="s">
        <v>74</v>
      </c>
      <c r="R333" t="s">
        <v>74</v>
      </c>
      <c r="S333" t="s">
        <v>74</v>
      </c>
      <c r="T333" t="s">
        <v>5694</v>
      </c>
      <c r="U333" t="s">
        <v>5695</v>
      </c>
      <c r="V333" t="s">
        <v>5696</v>
      </c>
      <c r="W333" t="s">
        <v>5697</v>
      </c>
      <c r="X333" t="s">
        <v>5698</v>
      </c>
      <c r="Y333" t="s">
        <v>5699</v>
      </c>
      <c r="Z333" t="s">
        <v>5700</v>
      </c>
      <c r="AA333" t="s">
        <v>5701</v>
      </c>
      <c r="AB333" t="s">
        <v>5702</v>
      </c>
      <c r="AC333" t="s">
        <v>4792</v>
      </c>
      <c r="AD333" t="s">
        <v>444</v>
      </c>
      <c r="AE333" t="s">
        <v>74</v>
      </c>
      <c r="AF333" t="s">
        <v>74</v>
      </c>
      <c r="AG333">
        <v>32</v>
      </c>
      <c r="AH333">
        <v>8</v>
      </c>
      <c r="AI333">
        <v>8</v>
      </c>
      <c r="AJ333">
        <v>3</v>
      </c>
      <c r="AK333">
        <v>11</v>
      </c>
      <c r="AL333" t="s">
        <v>1265</v>
      </c>
      <c r="AM333" t="s">
        <v>1317</v>
      </c>
      <c r="AN333" t="s">
        <v>2701</v>
      </c>
      <c r="AO333" t="s">
        <v>5703</v>
      </c>
      <c r="AP333" t="s">
        <v>74</v>
      </c>
      <c r="AQ333" t="s">
        <v>74</v>
      </c>
      <c r="AR333" t="s">
        <v>5704</v>
      </c>
      <c r="AS333" t="s">
        <v>5705</v>
      </c>
      <c r="AT333" t="s">
        <v>1490</v>
      </c>
      <c r="AU333">
        <v>2008</v>
      </c>
      <c r="AV333">
        <v>39</v>
      </c>
      <c r="AW333">
        <v>1</v>
      </c>
      <c r="AX333" t="s">
        <v>74</v>
      </c>
      <c r="AY333" t="s">
        <v>74</v>
      </c>
      <c r="AZ333" t="s">
        <v>74</v>
      </c>
      <c r="BA333" t="s">
        <v>74</v>
      </c>
      <c r="BB333">
        <v>143</v>
      </c>
      <c r="BC333">
        <v>150</v>
      </c>
      <c r="BD333" t="s">
        <v>74</v>
      </c>
      <c r="BE333" t="s">
        <v>5706</v>
      </c>
      <c r="BF333" t="str">
        <f>HYPERLINK("http://dx.doi.org/10.1007/s10933-007-9102-5","http://dx.doi.org/10.1007/s10933-007-9102-5")</f>
        <v>http://dx.doi.org/10.1007/s10933-007-9102-5</v>
      </c>
      <c r="BG333" t="s">
        <v>74</v>
      </c>
      <c r="BH333" t="s">
        <v>74</v>
      </c>
      <c r="BI333">
        <v>8</v>
      </c>
      <c r="BJ333" t="s">
        <v>5707</v>
      </c>
      <c r="BK333" t="s">
        <v>97</v>
      </c>
      <c r="BL333" t="s">
        <v>5708</v>
      </c>
      <c r="BM333" t="s">
        <v>5709</v>
      </c>
      <c r="BN333" t="s">
        <v>74</v>
      </c>
      <c r="BO333" t="s">
        <v>74</v>
      </c>
      <c r="BP333" t="s">
        <v>74</v>
      </c>
      <c r="BQ333" t="s">
        <v>74</v>
      </c>
      <c r="BR333" t="s">
        <v>100</v>
      </c>
      <c r="BS333" t="s">
        <v>5710</v>
      </c>
      <c r="BT333" t="str">
        <f>HYPERLINK("https%3A%2F%2Fwww.webofscience.com%2Fwos%2Fwoscc%2Ffull-record%2FWOS:000251730600013","View Full Record in Web of Science")</f>
        <v>View Full Record in Web of Science</v>
      </c>
    </row>
    <row r="334" spans="1:72" x14ac:dyDescent="0.15">
      <c r="A334" t="s">
        <v>72</v>
      </c>
      <c r="B334" t="s">
        <v>5711</v>
      </c>
      <c r="C334" t="s">
        <v>74</v>
      </c>
      <c r="D334" t="s">
        <v>74</v>
      </c>
      <c r="E334" t="s">
        <v>74</v>
      </c>
      <c r="F334" t="s">
        <v>5712</v>
      </c>
      <c r="G334" t="s">
        <v>74</v>
      </c>
      <c r="H334" t="s">
        <v>74</v>
      </c>
      <c r="I334" t="s">
        <v>5713</v>
      </c>
      <c r="J334" t="s">
        <v>5714</v>
      </c>
      <c r="K334" t="s">
        <v>74</v>
      </c>
      <c r="L334" t="s">
        <v>74</v>
      </c>
      <c r="M334" t="s">
        <v>78</v>
      </c>
      <c r="N334" t="s">
        <v>79</v>
      </c>
      <c r="O334" t="s">
        <v>74</v>
      </c>
      <c r="P334" t="s">
        <v>74</v>
      </c>
      <c r="Q334" t="s">
        <v>74</v>
      </c>
      <c r="R334" t="s">
        <v>74</v>
      </c>
      <c r="S334" t="s">
        <v>74</v>
      </c>
      <c r="T334" t="s">
        <v>5715</v>
      </c>
      <c r="U334" t="s">
        <v>74</v>
      </c>
      <c r="V334" t="s">
        <v>5716</v>
      </c>
      <c r="W334" t="s">
        <v>5717</v>
      </c>
      <c r="X334" t="s">
        <v>5718</v>
      </c>
      <c r="Y334" t="s">
        <v>5719</v>
      </c>
      <c r="Z334" t="s">
        <v>74</v>
      </c>
      <c r="AA334" t="s">
        <v>5720</v>
      </c>
      <c r="AB334" t="s">
        <v>5721</v>
      </c>
      <c r="AC334" t="s">
        <v>74</v>
      </c>
      <c r="AD334" t="s">
        <v>74</v>
      </c>
      <c r="AE334" t="s">
        <v>74</v>
      </c>
      <c r="AF334" t="s">
        <v>74</v>
      </c>
      <c r="AG334">
        <v>12</v>
      </c>
      <c r="AH334">
        <v>0</v>
      </c>
      <c r="AI334">
        <v>0</v>
      </c>
      <c r="AJ334">
        <v>0</v>
      </c>
      <c r="AK334">
        <v>0</v>
      </c>
      <c r="AL334" t="s">
        <v>5722</v>
      </c>
      <c r="AM334" t="s">
        <v>5723</v>
      </c>
      <c r="AN334" t="s">
        <v>5724</v>
      </c>
      <c r="AO334" t="s">
        <v>5725</v>
      </c>
      <c r="AP334" t="s">
        <v>74</v>
      </c>
      <c r="AQ334" t="s">
        <v>74</v>
      </c>
      <c r="AR334" t="s">
        <v>5726</v>
      </c>
      <c r="AS334" t="s">
        <v>5727</v>
      </c>
      <c r="AT334" t="s">
        <v>74</v>
      </c>
      <c r="AU334">
        <v>2008</v>
      </c>
      <c r="AV334" t="s">
        <v>74</v>
      </c>
      <c r="AW334">
        <v>2</v>
      </c>
      <c r="AX334" t="s">
        <v>74</v>
      </c>
      <c r="AY334" t="s">
        <v>74</v>
      </c>
      <c r="AZ334" t="s">
        <v>74</v>
      </c>
      <c r="BA334" t="s">
        <v>74</v>
      </c>
      <c r="BB334">
        <v>301</v>
      </c>
      <c r="BC334">
        <v>307</v>
      </c>
      <c r="BD334" t="s">
        <v>74</v>
      </c>
      <c r="BE334" t="s">
        <v>74</v>
      </c>
      <c r="BF334" t="s">
        <v>74</v>
      </c>
      <c r="BG334" t="s">
        <v>74</v>
      </c>
      <c r="BH334" t="s">
        <v>74</v>
      </c>
      <c r="BI334">
        <v>7</v>
      </c>
      <c r="BJ334" t="s">
        <v>684</v>
      </c>
      <c r="BK334" t="s">
        <v>2166</v>
      </c>
      <c r="BL334" t="s">
        <v>685</v>
      </c>
      <c r="BM334" t="s">
        <v>5728</v>
      </c>
      <c r="BN334" t="s">
        <v>74</v>
      </c>
      <c r="BO334" t="s">
        <v>74</v>
      </c>
      <c r="BP334" t="s">
        <v>74</v>
      </c>
      <c r="BQ334" t="s">
        <v>74</v>
      </c>
      <c r="BR334" t="s">
        <v>100</v>
      </c>
      <c r="BS334" t="s">
        <v>5729</v>
      </c>
      <c r="BT334" t="str">
        <f>HYPERLINK("https%3A%2F%2Fwww.webofscience.com%2Fwos%2Fwoscc%2Ffull-record%2FWOS:000420572600018","View Full Record in Web of Science")</f>
        <v>View Full Record in Web of Science</v>
      </c>
    </row>
    <row r="335" spans="1:72" x14ac:dyDescent="0.15">
      <c r="A335" t="s">
        <v>72</v>
      </c>
      <c r="B335" t="s">
        <v>5730</v>
      </c>
      <c r="C335" t="s">
        <v>74</v>
      </c>
      <c r="D335" t="s">
        <v>74</v>
      </c>
      <c r="E335" t="s">
        <v>74</v>
      </c>
      <c r="F335" t="s">
        <v>5731</v>
      </c>
      <c r="G335" t="s">
        <v>74</v>
      </c>
      <c r="H335" t="s">
        <v>74</v>
      </c>
      <c r="I335" t="s">
        <v>5732</v>
      </c>
      <c r="J335" t="s">
        <v>5733</v>
      </c>
      <c r="K335" t="s">
        <v>74</v>
      </c>
      <c r="L335" t="s">
        <v>74</v>
      </c>
      <c r="M335" t="s">
        <v>78</v>
      </c>
      <c r="N335" t="s">
        <v>79</v>
      </c>
      <c r="O335" t="s">
        <v>74</v>
      </c>
      <c r="P335" t="s">
        <v>74</v>
      </c>
      <c r="Q335" t="s">
        <v>74</v>
      </c>
      <c r="R335" t="s">
        <v>74</v>
      </c>
      <c r="S335" t="s">
        <v>74</v>
      </c>
      <c r="T335" t="s">
        <v>5734</v>
      </c>
      <c r="U335" t="s">
        <v>5735</v>
      </c>
      <c r="V335" t="s">
        <v>5736</v>
      </c>
      <c r="W335" t="s">
        <v>5737</v>
      </c>
      <c r="X335" t="s">
        <v>5738</v>
      </c>
      <c r="Y335" t="s">
        <v>5739</v>
      </c>
      <c r="Z335" t="s">
        <v>5740</v>
      </c>
      <c r="AA335" t="s">
        <v>5741</v>
      </c>
      <c r="AB335" t="s">
        <v>5742</v>
      </c>
      <c r="AC335" t="s">
        <v>5743</v>
      </c>
      <c r="AD335" t="s">
        <v>242</v>
      </c>
      <c r="AE335" t="s">
        <v>74</v>
      </c>
      <c r="AF335" t="s">
        <v>74</v>
      </c>
      <c r="AG335">
        <v>26</v>
      </c>
      <c r="AH335">
        <v>47</v>
      </c>
      <c r="AI335">
        <v>51</v>
      </c>
      <c r="AJ335">
        <v>1</v>
      </c>
      <c r="AK335">
        <v>11</v>
      </c>
      <c r="AL335" t="s">
        <v>1219</v>
      </c>
      <c r="AM335" t="s">
        <v>89</v>
      </c>
      <c r="AN335" t="s">
        <v>90</v>
      </c>
      <c r="AO335" t="s">
        <v>5744</v>
      </c>
      <c r="AP335" t="s">
        <v>5745</v>
      </c>
      <c r="AQ335" t="s">
        <v>74</v>
      </c>
      <c r="AR335" t="s">
        <v>5746</v>
      </c>
      <c r="AS335" t="s">
        <v>5747</v>
      </c>
      <c r="AT335" t="s">
        <v>1490</v>
      </c>
      <c r="AU335">
        <v>2008</v>
      </c>
      <c r="AV335">
        <v>274</v>
      </c>
      <c r="AW335">
        <v>1</v>
      </c>
      <c r="AX335" t="s">
        <v>74</v>
      </c>
      <c r="AY335" t="s">
        <v>74</v>
      </c>
      <c r="AZ335" t="s">
        <v>74</v>
      </c>
      <c r="BA335" t="s">
        <v>74</v>
      </c>
      <c r="BB335">
        <v>44</v>
      </c>
      <c r="BC335">
        <v>50</v>
      </c>
      <c r="BD335" t="s">
        <v>74</v>
      </c>
      <c r="BE335" t="s">
        <v>5748</v>
      </c>
      <c r="BF335" t="str">
        <f>HYPERLINK("http://dx.doi.org/10.1111/j.1469-7998.2007.00355.x","http://dx.doi.org/10.1111/j.1469-7998.2007.00355.x")</f>
        <v>http://dx.doi.org/10.1111/j.1469-7998.2007.00355.x</v>
      </c>
      <c r="BG335" t="s">
        <v>74</v>
      </c>
      <c r="BH335" t="s">
        <v>74</v>
      </c>
      <c r="BI335">
        <v>7</v>
      </c>
      <c r="BJ335" t="s">
        <v>4825</v>
      </c>
      <c r="BK335" t="s">
        <v>97</v>
      </c>
      <c r="BL335" t="s">
        <v>4825</v>
      </c>
      <c r="BM335" t="s">
        <v>5749</v>
      </c>
      <c r="BN335" t="s">
        <v>74</v>
      </c>
      <c r="BO335" t="s">
        <v>74</v>
      </c>
      <c r="BP335" t="s">
        <v>74</v>
      </c>
      <c r="BQ335" t="s">
        <v>74</v>
      </c>
      <c r="BR335" t="s">
        <v>100</v>
      </c>
      <c r="BS335" t="s">
        <v>5750</v>
      </c>
      <c r="BT335" t="str">
        <f>HYPERLINK("https%3A%2F%2Fwww.webofscience.com%2Fwos%2Fwoscc%2Ffull-record%2FWOS:000251739900008","View Full Record in Web of Science")</f>
        <v>View Full Record in Web of Science</v>
      </c>
    </row>
    <row r="336" spans="1:72" x14ac:dyDescent="0.15">
      <c r="A336" t="s">
        <v>72</v>
      </c>
      <c r="B336" t="s">
        <v>5751</v>
      </c>
      <c r="C336" t="s">
        <v>74</v>
      </c>
      <c r="D336" t="s">
        <v>74</v>
      </c>
      <c r="E336" t="s">
        <v>74</v>
      </c>
      <c r="F336" t="s">
        <v>5752</v>
      </c>
      <c r="G336" t="s">
        <v>74</v>
      </c>
      <c r="H336" t="s">
        <v>74</v>
      </c>
      <c r="I336" t="s">
        <v>5753</v>
      </c>
      <c r="J336" t="s">
        <v>5754</v>
      </c>
      <c r="K336" t="s">
        <v>74</v>
      </c>
      <c r="L336" t="s">
        <v>74</v>
      </c>
      <c r="M336" t="s">
        <v>78</v>
      </c>
      <c r="N336" t="s">
        <v>79</v>
      </c>
      <c r="O336" t="s">
        <v>74</v>
      </c>
      <c r="P336" t="s">
        <v>74</v>
      </c>
      <c r="Q336" t="s">
        <v>74</v>
      </c>
      <c r="R336" t="s">
        <v>74</v>
      </c>
      <c r="S336" t="s">
        <v>74</v>
      </c>
      <c r="T336" t="s">
        <v>5755</v>
      </c>
      <c r="U336" t="s">
        <v>74</v>
      </c>
      <c r="V336" t="s">
        <v>5756</v>
      </c>
      <c r="W336" t="s">
        <v>5757</v>
      </c>
      <c r="X336" t="s">
        <v>5758</v>
      </c>
      <c r="Y336" t="s">
        <v>5759</v>
      </c>
      <c r="Z336" t="s">
        <v>5760</v>
      </c>
      <c r="AA336" t="s">
        <v>74</v>
      </c>
      <c r="AB336" t="s">
        <v>5761</v>
      </c>
      <c r="AC336" t="s">
        <v>74</v>
      </c>
      <c r="AD336" t="s">
        <v>74</v>
      </c>
      <c r="AE336" t="s">
        <v>74</v>
      </c>
      <c r="AF336" t="s">
        <v>74</v>
      </c>
      <c r="AG336">
        <v>47</v>
      </c>
      <c r="AH336">
        <v>6</v>
      </c>
      <c r="AI336">
        <v>6</v>
      </c>
      <c r="AJ336">
        <v>0</v>
      </c>
      <c r="AK336">
        <v>10</v>
      </c>
      <c r="AL336" t="s">
        <v>5762</v>
      </c>
      <c r="AM336" t="s">
        <v>5763</v>
      </c>
      <c r="AN336" t="s">
        <v>5764</v>
      </c>
      <c r="AO336" t="s">
        <v>5765</v>
      </c>
      <c r="AP336" t="s">
        <v>5766</v>
      </c>
      <c r="AQ336" t="s">
        <v>74</v>
      </c>
      <c r="AR336" t="s">
        <v>5767</v>
      </c>
      <c r="AS336" t="s">
        <v>5768</v>
      </c>
      <c r="AT336" t="s">
        <v>74</v>
      </c>
      <c r="AU336">
        <v>2008</v>
      </c>
      <c r="AV336">
        <v>36</v>
      </c>
      <c r="AW336">
        <v>2</v>
      </c>
      <c r="AX336" t="s">
        <v>74</v>
      </c>
      <c r="AY336" t="s">
        <v>74</v>
      </c>
      <c r="AZ336" t="s">
        <v>74</v>
      </c>
      <c r="BA336" t="s">
        <v>74</v>
      </c>
      <c r="BB336">
        <v>271</v>
      </c>
      <c r="BC336">
        <v>282</v>
      </c>
      <c r="BD336" t="s">
        <v>74</v>
      </c>
      <c r="BE336" t="s">
        <v>5769</v>
      </c>
      <c r="BF336" t="str">
        <f>HYPERLINK("http://dx.doi.org/10.3856/vol36-issue2-fulltext-9","http://dx.doi.org/10.3856/vol36-issue2-fulltext-9")</f>
        <v>http://dx.doi.org/10.3856/vol36-issue2-fulltext-9</v>
      </c>
      <c r="BG336" t="s">
        <v>74</v>
      </c>
      <c r="BH336" t="s">
        <v>74</v>
      </c>
      <c r="BI336">
        <v>12</v>
      </c>
      <c r="BJ336" t="s">
        <v>5346</v>
      </c>
      <c r="BK336" t="s">
        <v>97</v>
      </c>
      <c r="BL336" t="s">
        <v>5346</v>
      </c>
      <c r="BM336" t="s">
        <v>5770</v>
      </c>
      <c r="BN336" t="s">
        <v>74</v>
      </c>
      <c r="BO336" t="s">
        <v>5771</v>
      </c>
      <c r="BP336" t="s">
        <v>74</v>
      </c>
      <c r="BQ336" t="s">
        <v>74</v>
      </c>
      <c r="BR336" t="s">
        <v>100</v>
      </c>
      <c r="BS336" t="s">
        <v>5772</v>
      </c>
      <c r="BT336" t="str">
        <f>HYPERLINK("https%3A%2F%2Fwww.webofscience.com%2Fwos%2Fwoscc%2Ffull-record%2FWOS:000269766100009","View Full Record in Web of Science")</f>
        <v>View Full Record in Web of Science</v>
      </c>
    </row>
    <row r="337" spans="1:72" x14ac:dyDescent="0.15">
      <c r="A337" t="s">
        <v>72</v>
      </c>
      <c r="B337" t="s">
        <v>5773</v>
      </c>
      <c r="C337" t="s">
        <v>74</v>
      </c>
      <c r="D337" t="s">
        <v>74</v>
      </c>
      <c r="E337" t="s">
        <v>74</v>
      </c>
      <c r="F337" t="s">
        <v>5774</v>
      </c>
      <c r="G337" t="s">
        <v>74</v>
      </c>
      <c r="H337" t="s">
        <v>74</v>
      </c>
      <c r="I337" t="s">
        <v>5775</v>
      </c>
      <c r="J337" t="s">
        <v>5776</v>
      </c>
      <c r="K337" t="s">
        <v>74</v>
      </c>
      <c r="L337" t="s">
        <v>74</v>
      </c>
      <c r="M337" t="s">
        <v>78</v>
      </c>
      <c r="N337" t="s">
        <v>79</v>
      </c>
      <c r="O337" t="s">
        <v>74</v>
      </c>
      <c r="P337" t="s">
        <v>74</v>
      </c>
      <c r="Q337" t="s">
        <v>74</v>
      </c>
      <c r="R337" t="s">
        <v>74</v>
      </c>
      <c r="S337" t="s">
        <v>74</v>
      </c>
      <c r="T337" t="s">
        <v>5777</v>
      </c>
      <c r="U337" t="s">
        <v>5778</v>
      </c>
      <c r="V337" t="s">
        <v>5779</v>
      </c>
      <c r="W337" t="s">
        <v>5780</v>
      </c>
      <c r="X337" t="s">
        <v>5781</v>
      </c>
      <c r="Y337" t="s">
        <v>5782</v>
      </c>
      <c r="Z337" t="s">
        <v>5783</v>
      </c>
      <c r="AA337" t="s">
        <v>74</v>
      </c>
      <c r="AB337" t="s">
        <v>74</v>
      </c>
      <c r="AC337" t="s">
        <v>74</v>
      </c>
      <c r="AD337" t="s">
        <v>74</v>
      </c>
      <c r="AE337" t="s">
        <v>74</v>
      </c>
      <c r="AF337" t="s">
        <v>74</v>
      </c>
      <c r="AG337">
        <v>31</v>
      </c>
      <c r="AH337">
        <v>9</v>
      </c>
      <c r="AI337">
        <v>9</v>
      </c>
      <c r="AJ337">
        <v>0</v>
      </c>
      <c r="AK337">
        <v>3</v>
      </c>
      <c r="AL337" t="s">
        <v>2556</v>
      </c>
      <c r="AM337" t="s">
        <v>1467</v>
      </c>
      <c r="AN337" t="s">
        <v>2557</v>
      </c>
      <c r="AO337" t="s">
        <v>5784</v>
      </c>
      <c r="AP337" t="s">
        <v>5785</v>
      </c>
      <c r="AQ337" t="s">
        <v>74</v>
      </c>
      <c r="AR337" t="s">
        <v>5776</v>
      </c>
      <c r="AS337" t="s">
        <v>5786</v>
      </c>
      <c r="AT337" t="s">
        <v>74</v>
      </c>
      <c r="AU337">
        <v>2008</v>
      </c>
      <c r="AV337">
        <v>40</v>
      </c>
      <c r="AW337" t="s">
        <v>74</v>
      </c>
      <c r="AX337">
        <v>3</v>
      </c>
      <c r="AY337" t="s">
        <v>74</v>
      </c>
      <c r="AZ337" t="s">
        <v>74</v>
      </c>
      <c r="BA337" t="s">
        <v>74</v>
      </c>
      <c r="BB337">
        <v>233</v>
      </c>
      <c r="BC337">
        <v>242</v>
      </c>
      <c r="BD337" t="s">
        <v>74</v>
      </c>
      <c r="BE337" t="s">
        <v>5787</v>
      </c>
      <c r="BF337" t="str">
        <f>HYPERLINK("http://dx.doi.org/10.1017/S002428290800741X","http://dx.doi.org/10.1017/S002428290800741X")</f>
        <v>http://dx.doi.org/10.1017/S002428290800741X</v>
      </c>
      <c r="BG337" t="s">
        <v>74</v>
      </c>
      <c r="BH337" t="s">
        <v>74</v>
      </c>
      <c r="BI337">
        <v>10</v>
      </c>
      <c r="BJ337" t="s">
        <v>5788</v>
      </c>
      <c r="BK337" t="s">
        <v>97</v>
      </c>
      <c r="BL337" t="s">
        <v>5788</v>
      </c>
      <c r="BM337" t="s">
        <v>5789</v>
      </c>
      <c r="BN337" t="s">
        <v>74</v>
      </c>
      <c r="BO337" t="s">
        <v>74</v>
      </c>
      <c r="BP337" t="s">
        <v>74</v>
      </c>
      <c r="BQ337" t="s">
        <v>74</v>
      </c>
      <c r="BR337" t="s">
        <v>100</v>
      </c>
      <c r="BS337" t="s">
        <v>5790</v>
      </c>
      <c r="BT337" t="str">
        <f>HYPERLINK("https%3A%2F%2Fwww.webofscience.com%2Fwos%2Fwoscc%2Ffull-record%2FWOS:000257846200008","View Full Record in Web of Science")</f>
        <v>View Full Record in Web of Science</v>
      </c>
    </row>
    <row r="338" spans="1:72" x14ac:dyDescent="0.15">
      <c r="A338" t="s">
        <v>72</v>
      </c>
      <c r="B338" t="s">
        <v>5791</v>
      </c>
      <c r="C338" t="s">
        <v>74</v>
      </c>
      <c r="D338" t="s">
        <v>74</v>
      </c>
      <c r="E338" t="s">
        <v>74</v>
      </c>
      <c r="F338" t="s">
        <v>5792</v>
      </c>
      <c r="G338" t="s">
        <v>74</v>
      </c>
      <c r="H338" t="s">
        <v>74</v>
      </c>
      <c r="I338" t="s">
        <v>5793</v>
      </c>
      <c r="J338" t="s">
        <v>5776</v>
      </c>
      <c r="K338" t="s">
        <v>74</v>
      </c>
      <c r="L338" t="s">
        <v>74</v>
      </c>
      <c r="M338" t="s">
        <v>78</v>
      </c>
      <c r="N338" t="s">
        <v>79</v>
      </c>
      <c r="O338" t="s">
        <v>74</v>
      </c>
      <c r="P338" t="s">
        <v>74</v>
      </c>
      <c r="Q338" t="s">
        <v>74</v>
      </c>
      <c r="R338" t="s">
        <v>74</v>
      </c>
      <c r="S338" t="s">
        <v>74</v>
      </c>
      <c r="T338" t="s">
        <v>5794</v>
      </c>
      <c r="U338" t="s">
        <v>5795</v>
      </c>
      <c r="V338" t="s">
        <v>5796</v>
      </c>
      <c r="W338" t="s">
        <v>5797</v>
      </c>
      <c r="X338" t="s">
        <v>5798</v>
      </c>
      <c r="Y338" t="s">
        <v>5799</v>
      </c>
      <c r="Z338" t="s">
        <v>5800</v>
      </c>
      <c r="AA338" t="s">
        <v>5801</v>
      </c>
      <c r="AB338" t="s">
        <v>5802</v>
      </c>
      <c r="AC338" t="s">
        <v>5803</v>
      </c>
      <c r="AD338" t="s">
        <v>5804</v>
      </c>
      <c r="AE338" t="s">
        <v>5805</v>
      </c>
      <c r="AF338" t="s">
        <v>74</v>
      </c>
      <c r="AG338">
        <v>32</v>
      </c>
      <c r="AH338">
        <v>26</v>
      </c>
      <c r="AI338">
        <v>26</v>
      </c>
      <c r="AJ338">
        <v>0</v>
      </c>
      <c r="AK338">
        <v>9</v>
      </c>
      <c r="AL338" t="s">
        <v>2556</v>
      </c>
      <c r="AM338" t="s">
        <v>1467</v>
      </c>
      <c r="AN338" t="s">
        <v>2557</v>
      </c>
      <c r="AO338" t="s">
        <v>5784</v>
      </c>
      <c r="AP338" t="s">
        <v>74</v>
      </c>
      <c r="AQ338" t="s">
        <v>74</v>
      </c>
      <c r="AR338" t="s">
        <v>5776</v>
      </c>
      <c r="AS338" t="s">
        <v>5786</v>
      </c>
      <c r="AT338" t="s">
        <v>74</v>
      </c>
      <c r="AU338">
        <v>2008</v>
      </c>
      <c r="AV338">
        <v>40</v>
      </c>
      <c r="AW338" t="s">
        <v>74</v>
      </c>
      <c r="AX338">
        <v>5</v>
      </c>
      <c r="AY338" t="s">
        <v>74</v>
      </c>
      <c r="AZ338" t="s">
        <v>74</v>
      </c>
      <c r="BA338" t="s">
        <v>74</v>
      </c>
      <c r="BB338">
        <v>399</v>
      </c>
      <c r="BC338">
        <v>409</v>
      </c>
      <c r="BD338" t="s">
        <v>74</v>
      </c>
      <c r="BE338" t="s">
        <v>5806</v>
      </c>
      <c r="BF338" t="str">
        <f>HYPERLINK("http://dx.doi.org/10.1017/S0024282908007937","http://dx.doi.org/10.1017/S0024282908007937")</f>
        <v>http://dx.doi.org/10.1017/S0024282908007937</v>
      </c>
      <c r="BG338" t="s">
        <v>74</v>
      </c>
      <c r="BH338" t="s">
        <v>74</v>
      </c>
      <c r="BI338">
        <v>11</v>
      </c>
      <c r="BJ338" t="s">
        <v>5788</v>
      </c>
      <c r="BK338" t="s">
        <v>97</v>
      </c>
      <c r="BL338" t="s">
        <v>5788</v>
      </c>
      <c r="BM338" t="s">
        <v>5807</v>
      </c>
      <c r="BN338" t="s">
        <v>74</v>
      </c>
      <c r="BO338" t="s">
        <v>74</v>
      </c>
      <c r="BP338" t="s">
        <v>74</v>
      </c>
      <c r="BQ338" t="s">
        <v>74</v>
      </c>
      <c r="BR338" t="s">
        <v>100</v>
      </c>
      <c r="BS338" t="s">
        <v>5808</v>
      </c>
      <c r="BT338" t="str">
        <f>HYPERLINK("https%3A%2F%2Fwww.webofscience.com%2Fwos%2Fwoscc%2Ffull-record%2FWOS:000259722500004","View Full Record in Web of Science")</f>
        <v>View Full Record in Web of Science</v>
      </c>
    </row>
    <row r="339" spans="1:72" x14ac:dyDescent="0.15">
      <c r="A339" t="s">
        <v>72</v>
      </c>
      <c r="B339" t="s">
        <v>5809</v>
      </c>
      <c r="C339" t="s">
        <v>74</v>
      </c>
      <c r="D339" t="s">
        <v>74</v>
      </c>
      <c r="E339" t="s">
        <v>74</v>
      </c>
      <c r="F339" t="s">
        <v>5810</v>
      </c>
      <c r="G339" t="s">
        <v>74</v>
      </c>
      <c r="H339" t="s">
        <v>74</v>
      </c>
      <c r="I339" t="s">
        <v>5811</v>
      </c>
      <c r="J339" t="s">
        <v>5812</v>
      </c>
      <c r="K339" t="s">
        <v>74</v>
      </c>
      <c r="L339" t="s">
        <v>74</v>
      </c>
      <c r="M339" t="s">
        <v>78</v>
      </c>
      <c r="N339" t="s">
        <v>79</v>
      </c>
      <c r="O339" t="s">
        <v>74</v>
      </c>
      <c r="P339" t="s">
        <v>74</v>
      </c>
      <c r="Q339" t="s">
        <v>74</v>
      </c>
      <c r="R339" t="s">
        <v>74</v>
      </c>
      <c r="S339" t="s">
        <v>74</v>
      </c>
      <c r="T339" t="s">
        <v>74</v>
      </c>
      <c r="U339" t="s">
        <v>5813</v>
      </c>
      <c r="V339" t="s">
        <v>5814</v>
      </c>
      <c r="W339" t="s">
        <v>5815</v>
      </c>
      <c r="X339" t="s">
        <v>5816</v>
      </c>
      <c r="Y339" t="s">
        <v>5817</v>
      </c>
      <c r="Z339" t="s">
        <v>74</v>
      </c>
      <c r="AA339" t="s">
        <v>3678</v>
      </c>
      <c r="AB339" t="s">
        <v>74</v>
      </c>
      <c r="AC339" t="s">
        <v>74</v>
      </c>
      <c r="AD339" t="s">
        <v>74</v>
      </c>
      <c r="AE339" t="s">
        <v>74</v>
      </c>
      <c r="AF339" t="s">
        <v>74</v>
      </c>
      <c r="AG339">
        <v>54</v>
      </c>
      <c r="AH339">
        <v>82</v>
      </c>
      <c r="AI339">
        <v>89</v>
      </c>
      <c r="AJ339">
        <v>0</v>
      </c>
      <c r="AK339">
        <v>30</v>
      </c>
      <c r="AL339" t="s">
        <v>1219</v>
      </c>
      <c r="AM339" t="s">
        <v>89</v>
      </c>
      <c r="AN339" t="s">
        <v>90</v>
      </c>
      <c r="AO339" t="s">
        <v>5818</v>
      </c>
      <c r="AP339" t="s">
        <v>5819</v>
      </c>
      <c r="AQ339" t="s">
        <v>74</v>
      </c>
      <c r="AR339" t="s">
        <v>5820</v>
      </c>
      <c r="AS339" t="s">
        <v>5821</v>
      </c>
      <c r="AT339" t="s">
        <v>1490</v>
      </c>
      <c r="AU339">
        <v>2008</v>
      </c>
      <c r="AV339">
        <v>53</v>
      </c>
      <c r="AW339">
        <v>1</v>
      </c>
      <c r="AX339" t="s">
        <v>74</v>
      </c>
      <c r="AY339" t="s">
        <v>74</v>
      </c>
      <c r="AZ339" t="s">
        <v>74</v>
      </c>
      <c r="BA339" t="s">
        <v>74</v>
      </c>
      <c r="BB339">
        <v>212</v>
      </c>
      <c r="BC339">
        <v>224</v>
      </c>
      <c r="BD339" t="s">
        <v>74</v>
      </c>
      <c r="BE339" t="s">
        <v>5822</v>
      </c>
      <c r="BF339" t="str">
        <f>HYPERLINK("http://dx.doi.org/10.4319/lo.2008.53.1.0212","http://dx.doi.org/10.4319/lo.2008.53.1.0212")</f>
        <v>http://dx.doi.org/10.4319/lo.2008.53.1.0212</v>
      </c>
      <c r="BG339" t="s">
        <v>74</v>
      </c>
      <c r="BH339" t="s">
        <v>74</v>
      </c>
      <c r="BI339">
        <v>13</v>
      </c>
      <c r="BJ339" t="s">
        <v>5823</v>
      </c>
      <c r="BK339" t="s">
        <v>97</v>
      </c>
      <c r="BL339" t="s">
        <v>5824</v>
      </c>
      <c r="BM339" t="s">
        <v>5825</v>
      </c>
      <c r="BN339" t="s">
        <v>74</v>
      </c>
      <c r="BO339" t="s">
        <v>1838</v>
      </c>
      <c r="BP339" t="s">
        <v>74</v>
      </c>
      <c r="BQ339" t="s">
        <v>74</v>
      </c>
      <c r="BR339" t="s">
        <v>100</v>
      </c>
      <c r="BS339" t="s">
        <v>5826</v>
      </c>
      <c r="BT339" t="str">
        <f>HYPERLINK("https%3A%2F%2Fwww.webofscience.com%2Fwos%2Fwoscc%2Ffull-record%2FWOS:000256498500018","View Full Record in Web of Science")</f>
        <v>View Full Record in Web of Science</v>
      </c>
    </row>
    <row r="340" spans="1:72" x14ac:dyDescent="0.15">
      <c r="A340" t="s">
        <v>72</v>
      </c>
      <c r="B340" t="s">
        <v>5827</v>
      </c>
      <c r="C340" t="s">
        <v>74</v>
      </c>
      <c r="D340" t="s">
        <v>74</v>
      </c>
      <c r="E340" t="s">
        <v>74</v>
      </c>
      <c r="F340" t="s">
        <v>5828</v>
      </c>
      <c r="G340" t="s">
        <v>74</v>
      </c>
      <c r="H340" t="s">
        <v>74</v>
      </c>
      <c r="I340" t="s">
        <v>5829</v>
      </c>
      <c r="J340" t="s">
        <v>5830</v>
      </c>
      <c r="K340" t="s">
        <v>74</v>
      </c>
      <c r="L340" t="s">
        <v>74</v>
      </c>
      <c r="M340" t="s">
        <v>3986</v>
      </c>
      <c r="N340" t="s">
        <v>79</v>
      </c>
      <c r="O340" t="s">
        <v>74</v>
      </c>
      <c r="P340" t="s">
        <v>74</v>
      </c>
      <c r="Q340" t="s">
        <v>74</v>
      </c>
      <c r="R340" t="s">
        <v>74</v>
      </c>
      <c r="S340" t="s">
        <v>74</v>
      </c>
      <c r="T340" t="s">
        <v>5831</v>
      </c>
      <c r="U340" t="s">
        <v>5832</v>
      </c>
      <c r="V340" t="s">
        <v>5833</v>
      </c>
      <c r="W340" t="s">
        <v>5834</v>
      </c>
      <c r="X340" t="s">
        <v>5835</v>
      </c>
      <c r="Y340" t="s">
        <v>5836</v>
      </c>
      <c r="Z340" t="s">
        <v>5837</v>
      </c>
      <c r="AA340" t="s">
        <v>5838</v>
      </c>
      <c r="AB340" t="s">
        <v>5839</v>
      </c>
      <c r="AC340" t="s">
        <v>74</v>
      </c>
      <c r="AD340" t="s">
        <v>74</v>
      </c>
      <c r="AE340" t="s">
        <v>74</v>
      </c>
      <c r="AF340" t="s">
        <v>74</v>
      </c>
      <c r="AG340">
        <v>12</v>
      </c>
      <c r="AH340">
        <v>16</v>
      </c>
      <c r="AI340">
        <v>17</v>
      </c>
      <c r="AJ340">
        <v>0</v>
      </c>
      <c r="AK340">
        <v>4</v>
      </c>
      <c r="AL340" t="s">
        <v>5840</v>
      </c>
      <c r="AM340" t="s">
        <v>5841</v>
      </c>
      <c r="AN340" t="s">
        <v>5842</v>
      </c>
      <c r="AO340" t="s">
        <v>5843</v>
      </c>
      <c r="AP340" t="s">
        <v>74</v>
      </c>
      <c r="AQ340" t="s">
        <v>74</v>
      </c>
      <c r="AR340" t="s">
        <v>5830</v>
      </c>
      <c r="AS340" t="s">
        <v>5844</v>
      </c>
      <c r="AT340" t="s">
        <v>74</v>
      </c>
      <c r="AU340">
        <v>2008</v>
      </c>
      <c r="AV340">
        <v>36</v>
      </c>
      <c r="AW340">
        <v>1</v>
      </c>
      <c r="AX340" t="s">
        <v>74</v>
      </c>
      <c r="AY340" t="s">
        <v>74</v>
      </c>
      <c r="AZ340" t="s">
        <v>74</v>
      </c>
      <c r="BA340" t="s">
        <v>74</v>
      </c>
      <c r="BB340">
        <v>43</v>
      </c>
      <c r="BC340">
        <v>51</v>
      </c>
      <c r="BD340" t="s">
        <v>74</v>
      </c>
      <c r="BE340" t="s">
        <v>74</v>
      </c>
      <c r="BF340" t="s">
        <v>74</v>
      </c>
      <c r="BG340" t="s">
        <v>74</v>
      </c>
      <c r="BH340" t="s">
        <v>74</v>
      </c>
      <c r="BI340">
        <v>9</v>
      </c>
      <c r="BJ340" t="s">
        <v>5845</v>
      </c>
      <c r="BK340" t="s">
        <v>2526</v>
      </c>
      <c r="BL340" t="s">
        <v>5845</v>
      </c>
      <c r="BM340" t="s">
        <v>5846</v>
      </c>
      <c r="BN340" t="s">
        <v>74</v>
      </c>
      <c r="BO340" t="s">
        <v>74</v>
      </c>
      <c r="BP340" t="s">
        <v>74</v>
      </c>
      <c r="BQ340" t="s">
        <v>74</v>
      </c>
      <c r="BR340" t="s">
        <v>100</v>
      </c>
      <c r="BS340" t="s">
        <v>5847</v>
      </c>
      <c r="BT340" t="str">
        <f>HYPERLINK("https%3A%2F%2Fwww.webofscience.com%2Fwos%2Fwoscc%2Ffull-record%2FWOS:000257614900004","View Full Record in Web of Science")</f>
        <v>View Full Record in Web of Science</v>
      </c>
    </row>
    <row r="341" spans="1:72" x14ac:dyDescent="0.15">
      <c r="A341" t="s">
        <v>72</v>
      </c>
      <c r="B341" t="s">
        <v>5848</v>
      </c>
      <c r="C341" t="s">
        <v>74</v>
      </c>
      <c r="D341" t="s">
        <v>74</v>
      </c>
      <c r="E341" t="s">
        <v>74</v>
      </c>
      <c r="F341" t="s">
        <v>5849</v>
      </c>
      <c r="G341" t="s">
        <v>74</v>
      </c>
      <c r="H341" t="s">
        <v>74</v>
      </c>
      <c r="I341" t="s">
        <v>5850</v>
      </c>
      <c r="J341" t="s">
        <v>5830</v>
      </c>
      <c r="K341" t="s">
        <v>74</v>
      </c>
      <c r="L341" t="s">
        <v>74</v>
      </c>
      <c r="M341" t="s">
        <v>3986</v>
      </c>
      <c r="N341" t="s">
        <v>79</v>
      </c>
      <c r="O341" t="s">
        <v>74</v>
      </c>
      <c r="P341" t="s">
        <v>74</v>
      </c>
      <c r="Q341" t="s">
        <v>74</v>
      </c>
      <c r="R341" t="s">
        <v>74</v>
      </c>
      <c r="S341" t="s">
        <v>74</v>
      </c>
      <c r="T341" t="s">
        <v>5851</v>
      </c>
      <c r="U341" t="s">
        <v>5852</v>
      </c>
      <c r="V341" t="s">
        <v>5853</v>
      </c>
      <c r="W341" t="s">
        <v>5854</v>
      </c>
      <c r="X341" t="s">
        <v>2135</v>
      </c>
      <c r="Y341" t="s">
        <v>5855</v>
      </c>
      <c r="Z341" t="s">
        <v>5856</v>
      </c>
      <c r="AA341" t="s">
        <v>5857</v>
      </c>
      <c r="AB341" t="s">
        <v>5858</v>
      </c>
      <c r="AC341" t="s">
        <v>74</v>
      </c>
      <c r="AD341" t="s">
        <v>74</v>
      </c>
      <c r="AE341" t="s">
        <v>74</v>
      </c>
      <c r="AF341" t="s">
        <v>74</v>
      </c>
      <c r="AG341">
        <v>61</v>
      </c>
      <c r="AH341">
        <v>6</v>
      </c>
      <c r="AI341">
        <v>7</v>
      </c>
      <c r="AJ341">
        <v>0</v>
      </c>
      <c r="AK341">
        <v>8</v>
      </c>
      <c r="AL341" t="s">
        <v>5840</v>
      </c>
      <c r="AM341" t="s">
        <v>5841</v>
      </c>
      <c r="AN341" t="s">
        <v>5842</v>
      </c>
      <c r="AO341" t="s">
        <v>5843</v>
      </c>
      <c r="AP341" t="s">
        <v>74</v>
      </c>
      <c r="AQ341" t="s">
        <v>74</v>
      </c>
      <c r="AR341" t="s">
        <v>5830</v>
      </c>
      <c r="AS341" t="s">
        <v>5844</v>
      </c>
      <c r="AT341" t="s">
        <v>74</v>
      </c>
      <c r="AU341">
        <v>2008</v>
      </c>
      <c r="AV341">
        <v>36</v>
      </c>
      <c r="AW341">
        <v>1</v>
      </c>
      <c r="AX341" t="s">
        <v>74</v>
      </c>
      <c r="AY341" t="s">
        <v>74</v>
      </c>
      <c r="AZ341" t="s">
        <v>74</v>
      </c>
      <c r="BA341" t="s">
        <v>74</v>
      </c>
      <c r="BB341">
        <v>79</v>
      </c>
      <c r="BC341">
        <v>102</v>
      </c>
      <c r="BD341" t="s">
        <v>74</v>
      </c>
      <c r="BE341" t="s">
        <v>5859</v>
      </c>
      <c r="BF341" t="str">
        <f>HYPERLINK("http://dx.doi.org/10.4067/S0718-22442008000100007","http://dx.doi.org/10.4067/S0718-22442008000100007")</f>
        <v>http://dx.doi.org/10.4067/S0718-22442008000100007</v>
      </c>
      <c r="BG341" t="s">
        <v>74</v>
      </c>
      <c r="BH341" t="s">
        <v>74</v>
      </c>
      <c r="BI341">
        <v>24</v>
      </c>
      <c r="BJ341" t="s">
        <v>5845</v>
      </c>
      <c r="BK341" t="s">
        <v>2526</v>
      </c>
      <c r="BL341" t="s">
        <v>5845</v>
      </c>
      <c r="BM341" t="s">
        <v>5846</v>
      </c>
      <c r="BN341" t="s">
        <v>74</v>
      </c>
      <c r="BO341" t="s">
        <v>1618</v>
      </c>
      <c r="BP341" t="s">
        <v>74</v>
      </c>
      <c r="BQ341" t="s">
        <v>74</v>
      </c>
      <c r="BR341" t="s">
        <v>100</v>
      </c>
      <c r="BS341" t="s">
        <v>5860</v>
      </c>
      <c r="BT341" t="str">
        <f>HYPERLINK("https%3A%2F%2Fwww.webofscience.com%2Fwos%2Fwoscc%2Ffull-record%2FWOS:000257614900007","View Full Record in Web of Science")</f>
        <v>View Full Record in Web of Science</v>
      </c>
    </row>
    <row r="342" spans="1:72" x14ac:dyDescent="0.15">
      <c r="A342" t="s">
        <v>72</v>
      </c>
      <c r="B342" t="s">
        <v>5861</v>
      </c>
      <c r="C342" t="s">
        <v>74</v>
      </c>
      <c r="D342" t="s">
        <v>74</v>
      </c>
      <c r="E342" t="s">
        <v>74</v>
      </c>
      <c r="F342" t="s">
        <v>5862</v>
      </c>
      <c r="G342" t="s">
        <v>74</v>
      </c>
      <c r="H342" t="s">
        <v>74</v>
      </c>
      <c r="I342" t="s">
        <v>5863</v>
      </c>
      <c r="J342" t="s">
        <v>5830</v>
      </c>
      <c r="K342" t="s">
        <v>74</v>
      </c>
      <c r="L342" t="s">
        <v>74</v>
      </c>
      <c r="M342" t="s">
        <v>3986</v>
      </c>
      <c r="N342" t="s">
        <v>2552</v>
      </c>
      <c r="O342" t="s">
        <v>74</v>
      </c>
      <c r="P342" t="s">
        <v>74</v>
      </c>
      <c r="Q342" t="s">
        <v>74</v>
      </c>
      <c r="R342" t="s">
        <v>74</v>
      </c>
      <c r="S342" t="s">
        <v>74</v>
      </c>
      <c r="T342" t="s">
        <v>74</v>
      </c>
      <c r="U342" t="s">
        <v>74</v>
      </c>
      <c r="V342" t="s">
        <v>74</v>
      </c>
      <c r="W342" t="s">
        <v>74</v>
      </c>
      <c r="X342" t="s">
        <v>74</v>
      </c>
      <c r="Y342" t="s">
        <v>74</v>
      </c>
      <c r="Z342" t="s">
        <v>74</v>
      </c>
      <c r="AA342" t="s">
        <v>74</v>
      </c>
      <c r="AB342" t="s">
        <v>74</v>
      </c>
      <c r="AC342" t="s">
        <v>74</v>
      </c>
      <c r="AD342" t="s">
        <v>74</v>
      </c>
      <c r="AE342" t="s">
        <v>74</v>
      </c>
      <c r="AF342" t="s">
        <v>74</v>
      </c>
      <c r="AG342">
        <v>1</v>
      </c>
      <c r="AH342">
        <v>0</v>
      </c>
      <c r="AI342">
        <v>0</v>
      </c>
      <c r="AJ342">
        <v>2</v>
      </c>
      <c r="AK342">
        <v>14</v>
      </c>
      <c r="AL342" t="s">
        <v>5840</v>
      </c>
      <c r="AM342" t="s">
        <v>5841</v>
      </c>
      <c r="AN342" t="s">
        <v>5842</v>
      </c>
      <c r="AO342" t="s">
        <v>5864</v>
      </c>
      <c r="AP342" t="s">
        <v>74</v>
      </c>
      <c r="AQ342" t="s">
        <v>74</v>
      </c>
      <c r="AR342" t="s">
        <v>5830</v>
      </c>
      <c r="AS342" t="s">
        <v>5844</v>
      </c>
      <c r="AT342" t="s">
        <v>74</v>
      </c>
      <c r="AU342">
        <v>2008</v>
      </c>
      <c r="AV342">
        <v>36</v>
      </c>
      <c r="AW342">
        <v>2</v>
      </c>
      <c r="AX342" t="s">
        <v>74</v>
      </c>
      <c r="AY342" t="s">
        <v>74</v>
      </c>
      <c r="AZ342" t="s">
        <v>74</v>
      </c>
      <c r="BA342" t="s">
        <v>74</v>
      </c>
      <c r="BB342">
        <v>221</v>
      </c>
      <c r="BC342">
        <v>222</v>
      </c>
      <c r="BD342" t="s">
        <v>74</v>
      </c>
      <c r="BE342" t="s">
        <v>74</v>
      </c>
      <c r="BF342" t="s">
        <v>74</v>
      </c>
      <c r="BG342" t="s">
        <v>74</v>
      </c>
      <c r="BH342" t="s">
        <v>74</v>
      </c>
      <c r="BI342">
        <v>2</v>
      </c>
      <c r="BJ342" t="s">
        <v>5845</v>
      </c>
      <c r="BK342" t="s">
        <v>2526</v>
      </c>
      <c r="BL342" t="s">
        <v>5845</v>
      </c>
      <c r="BM342" t="s">
        <v>5865</v>
      </c>
      <c r="BN342" t="s">
        <v>74</v>
      </c>
      <c r="BO342" t="s">
        <v>74</v>
      </c>
      <c r="BP342" t="s">
        <v>74</v>
      </c>
      <c r="BQ342" t="s">
        <v>74</v>
      </c>
      <c r="BR342" t="s">
        <v>100</v>
      </c>
      <c r="BS342" t="s">
        <v>5866</v>
      </c>
      <c r="BT342" t="str">
        <f>HYPERLINK("https%3A%2F%2Fwww.webofscience.com%2Fwos%2Fwoscc%2Ffull-record%2FWOS:000262073700019","View Full Record in Web of Science")</f>
        <v>View Full Record in Web of Science</v>
      </c>
    </row>
    <row r="343" spans="1:72" x14ac:dyDescent="0.15">
      <c r="A343" t="s">
        <v>72</v>
      </c>
      <c r="B343" t="s">
        <v>5867</v>
      </c>
      <c r="C343" t="s">
        <v>74</v>
      </c>
      <c r="D343" t="s">
        <v>74</v>
      </c>
      <c r="E343" t="s">
        <v>74</v>
      </c>
      <c r="F343" t="s">
        <v>5868</v>
      </c>
      <c r="G343" t="s">
        <v>74</v>
      </c>
      <c r="H343" t="s">
        <v>74</v>
      </c>
      <c r="I343" t="s">
        <v>5869</v>
      </c>
      <c r="J343" t="s">
        <v>5870</v>
      </c>
      <c r="K343" t="s">
        <v>74</v>
      </c>
      <c r="L343" t="s">
        <v>74</v>
      </c>
      <c r="M343" t="s">
        <v>78</v>
      </c>
      <c r="N343" t="s">
        <v>106</v>
      </c>
      <c r="O343" t="s">
        <v>74</v>
      </c>
      <c r="P343" t="s">
        <v>74</v>
      </c>
      <c r="Q343" t="s">
        <v>74</v>
      </c>
      <c r="R343" t="s">
        <v>74</v>
      </c>
      <c r="S343" t="s">
        <v>74</v>
      </c>
      <c r="T343" t="s">
        <v>5871</v>
      </c>
      <c r="U343" t="s">
        <v>5872</v>
      </c>
      <c r="V343" t="s">
        <v>5873</v>
      </c>
      <c r="W343" t="s">
        <v>5874</v>
      </c>
      <c r="X343" t="s">
        <v>5875</v>
      </c>
      <c r="Y343" t="s">
        <v>5876</v>
      </c>
      <c r="Z343" t="s">
        <v>3593</v>
      </c>
      <c r="AA343" t="s">
        <v>977</v>
      </c>
      <c r="AB343" t="s">
        <v>74</v>
      </c>
      <c r="AC343" t="s">
        <v>74</v>
      </c>
      <c r="AD343" t="s">
        <v>74</v>
      </c>
      <c r="AE343" t="s">
        <v>74</v>
      </c>
      <c r="AF343" t="s">
        <v>74</v>
      </c>
      <c r="AG343">
        <v>181</v>
      </c>
      <c r="AH343">
        <v>84</v>
      </c>
      <c r="AI343">
        <v>92</v>
      </c>
      <c r="AJ343">
        <v>2</v>
      </c>
      <c r="AK343">
        <v>200</v>
      </c>
      <c r="AL343" t="s">
        <v>4017</v>
      </c>
      <c r="AM343" t="s">
        <v>4018</v>
      </c>
      <c r="AN343" t="s">
        <v>4019</v>
      </c>
      <c r="AO343" t="s">
        <v>5877</v>
      </c>
      <c r="AP343" t="s">
        <v>5878</v>
      </c>
      <c r="AQ343" t="s">
        <v>74</v>
      </c>
      <c r="AR343" t="s">
        <v>5879</v>
      </c>
      <c r="AS343" t="s">
        <v>5880</v>
      </c>
      <c r="AT343" t="s">
        <v>74</v>
      </c>
      <c r="AU343">
        <v>2008</v>
      </c>
      <c r="AV343">
        <v>59</v>
      </c>
      <c r="AW343">
        <v>5</v>
      </c>
      <c r="AX343" t="s">
        <v>74</v>
      </c>
      <c r="AY343" t="s">
        <v>74</v>
      </c>
      <c r="AZ343" t="s">
        <v>74</v>
      </c>
      <c r="BA343" t="s">
        <v>74</v>
      </c>
      <c r="BB343">
        <v>361</v>
      </c>
      <c r="BC343">
        <v>382</v>
      </c>
      <c r="BD343" t="s">
        <v>74</v>
      </c>
      <c r="BE343" t="s">
        <v>5881</v>
      </c>
      <c r="BF343" t="str">
        <f>HYPERLINK("http://dx.doi.org/10.1071/MF07161","http://dx.doi.org/10.1071/MF07161")</f>
        <v>http://dx.doi.org/10.1071/MF07161</v>
      </c>
      <c r="BG343" t="s">
        <v>74</v>
      </c>
      <c r="BH343" t="s">
        <v>74</v>
      </c>
      <c r="BI343">
        <v>22</v>
      </c>
      <c r="BJ343" t="s">
        <v>5882</v>
      </c>
      <c r="BK343" t="s">
        <v>97</v>
      </c>
      <c r="BL343" t="s">
        <v>5883</v>
      </c>
      <c r="BM343" t="s">
        <v>5884</v>
      </c>
      <c r="BN343" t="s">
        <v>74</v>
      </c>
      <c r="BO343" t="s">
        <v>74</v>
      </c>
      <c r="BP343" t="s">
        <v>74</v>
      </c>
      <c r="BQ343" t="s">
        <v>74</v>
      </c>
      <c r="BR343" t="s">
        <v>100</v>
      </c>
      <c r="BS343" t="s">
        <v>5885</v>
      </c>
      <c r="BT343" t="str">
        <f>HYPERLINK("https%3A%2F%2Fwww.webofscience.com%2Fwos%2Fwoscc%2Ffull-record%2FWOS:000257328900001","View Full Record in Web of Science")</f>
        <v>View Full Record in Web of Science</v>
      </c>
    </row>
    <row r="344" spans="1:72" x14ac:dyDescent="0.15">
      <c r="A344" t="s">
        <v>72</v>
      </c>
      <c r="B344" t="s">
        <v>5886</v>
      </c>
      <c r="C344" t="s">
        <v>74</v>
      </c>
      <c r="D344" t="s">
        <v>74</v>
      </c>
      <c r="E344" t="s">
        <v>74</v>
      </c>
      <c r="F344" t="s">
        <v>5887</v>
      </c>
      <c r="G344" t="s">
        <v>74</v>
      </c>
      <c r="H344" t="s">
        <v>74</v>
      </c>
      <c r="I344" t="s">
        <v>5888</v>
      </c>
      <c r="J344" t="s">
        <v>5870</v>
      </c>
      <c r="K344" t="s">
        <v>74</v>
      </c>
      <c r="L344" t="s">
        <v>74</v>
      </c>
      <c r="M344" t="s">
        <v>78</v>
      </c>
      <c r="N344" t="s">
        <v>79</v>
      </c>
      <c r="O344" t="s">
        <v>74</v>
      </c>
      <c r="P344" t="s">
        <v>74</v>
      </c>
      <c r="Q344" t="s">
        <v>74</v>
      </c>
      <c r="R344" t="s">
        <v>74</v>
      </c>
      <c r="S344" t="s">
        <v>74</v>
      </c>
      <c r="T344" t="s">
        <v>5889</v>
      </c>
      <c r="U344" t="s">
        <v>5890</v>
      </c>
      <c r="V344" t="s">
        <v>5891</v>
      </c>
      <c r="W344" t="s">
        <v>5892</v>
      </c>
      <c r="X344" t="s">
        <v>5893</v>
      </c>
      <c r="Y344" t="s">
        <v>5894</v>
      </c>
      <c r="Z344" t="s">
        <v>5895</v>
      </c>
      <c r="AA344" t="s">
        <v>5896</v>
      </c>
      <c r="AB344" t="s">
        <v>5897</v>
      </c>
      <c r="AC344" t="s">
        <v>74</v>
      </c>
      <c r="AD344" t="s">
        <v>74</v>
      </c>
      <c r="AE344" t="s">
        <v>74</v>
      </c>
      <c r="AF344" t="s">
        <v>74</v>
      </c>
      <c r="AG344">
        <v>47</v>
      </c>
      <c r="AH344">
        <v>7</v>
      </c>
      <c r="AI344">
        <v>7</v>
      </c>
      <c r="AJ344">
        <v>3</v>
      </c>
      <c r="AK344">
        <v>8</v>
      </c>
      <c r="AL344" t="s">
        <v>4017</v>
      </c>
      <c r="AM344" t="s">
        <v>5898</v>
      </c>
      <c r="AN344" t="s">
        <v>5899</v>
      </c>
      <c r="AO344" t="s">
        <v>5877</v>
      </c>
      <c r="AP344" t="s">
        <v>74</v>
      </c>
      <c r="AQ344" t="s">
        <v>74</v>
      </c>
      <c r="AR344" t="s">
        <v>5879</v>
      </c>
      <c r="AS344" t="s">
        <v>5880</v>
      </c>
      <c r="AT344" t="s">
        <v>74</v>
      </c>
      <c r="AU344">
        <v>2008</v>
      </c>
      <c r="AV344">
        <v>59</v>
      </c>
      <c r="AW344">
        <v>10</v>
      </c>
      <c r="AX344" t="s">
        <v>74</v>
      </c>
      <c r="AY344" t="s">
        <v>74</v>
      </c>
      <c r="AZ344" t="s">
        <v>74</v>
      </c>
      <c r="BA344" t="s">
        <v>74</v>
      </c>
      <c r="BB344">
        <v>931</v>
      </c>
      <c r="BC344">
        <v>939</v>
      </c>
      <c r="BD344" t="s">
        <v>74</v>
      </c>
      <c r="BE344" t="s">
        <v>5900</v>
      </c>
      <c r="BF344" t="str">
        <f>HYPERLINK("http://dx.doi.org/10.1071/MF07105","http://dx.doi.org/10.1071/MF07105")</f>
        <v>http://dx.doi.org/10.1071/MF07105</v>
      </c>
      <c r="BG344" t="s">
        <v>74</v>
      </c>
      <c r="BH344" t="s">
        <v>74</v>
      </c>
      <c r="BI344">
        <v>9</v>
      </c>
      <c r="BJ344" t="s">
        <v>5882</v>
      </c>
      <c r="BK344" t="s">
        <v>97</v>
      </c>
      <c r="BL344" t="s">
        <v>5883</v>
      </c>
      <c r="BM344" t="s">
        <v>5901</v>
      </c>
      <c r="BN344" t="s">
        <v>74</v>
      </c>
      <c r="BO344" t="s">
        <v>74</v>
      </c>
      <c r="BP344" t="s">
        <v>74</v>
      </c>
      <c r="BQ344" t="s">
        <v>74</v>
      </c>
      <c r="BR344" t="s">
        <v>100</v>
      </c>
      <c r="BS344" t="s">
        <v>5902</v>
      </c>
      <c r="BT344" t="str">
        <f>HYPERLINK("https%3A%2F%2Fwww.webofscience.com%2Fwos%2Fwoscc%2Ffull-record%2FWOS:000260377700001","View Full Record in Web of Science")</f>
        <v>View Full Record in Web of Science</v>
      </c>
    </row>
    <row r="345" spans="1:72" x14ac:dyDescent="0.15">
      <c r="A345" t="s">
        <v>72</v>
      </c>
      <c r="B345" t="s">
        <v>5903</v>
      </c>
      <c r="C345" t="s">
        <v>74</v>
      </c>
      <c r="D345" t="s">
        <v>74</v>
      </c>
      <c r="E345" t="s">
        <v>74</v>
      </c>
      <c r="F345" t="s">
        <v>5904</v>
      </c>
      <c r="G345" t="s">
        <v>74</v>
      </c>
      <c r="H345" t="s">
        <v>74</v>
      </c>
      <c r="I345" t="s">
        <v>5905</v>
      </c>
      <c r="J345" t="s">
        <v>5906</v>
      </c>
      <c r="K345" t="s">
        <v>74</v>
      </c>
      <c r="L345" t="s">
        <v>74</v>
      </c>
      <c r="M345" t="s">
        <v>78</v>
      </c>
      <c r="N345" t="s">
        <v>79</v>
      </c>
      <c r="O345" t="s">
        <v>74</v>
      </c>
      <c r="P345" t="s">
        <v>74</v>
      </c>
      <c r="Q345" t="s">
        <v>74</v>
      </c>
      <c r="R345" t="s">
        <v>74</v>
      </c>
      <c r="S345" t="s">
        <v>74</v>
      </c>
      <c r="T345" t="s">
        <v>5907</v>
      </c>
      <c r="U345" t="s">
        <v>5908</v>
      </c>
      <c r="V345" t="s">
        <v>5909</v>
      </c>
      <c r="W345" t="s">
        <v>5910</v>
      </c>
      <c r="X345" t="s">
        <v>5911</v>
      </c>
      <c r="Y345" t="s">
        <v>5912</v>
      </c>
      <c r="Z345" t="s">
        <v>5913</v>
      </c>
      <c r="AA345" t="s">
        <v>74</v>
      </c>
      <c r="AB345" t="s">
        <v>74</v>
      </c>
      <c r="AC345" t="s">
        <v>74</v>
      </c>
      <c r="AD345" t="s">
        <v>74</v>
      </c>
      <c r="AE345" t="s">
        <v>74</v>
      </c>
      <c r="AF345" t="s">
        <v>74</v>
      </c>
      <c r="AG345">
        <v>63</v>
      </c>
      <c r="AH345">
        <v>16</v>
      </c>
      <c r="AI345">
        <v>21</v>
      </c>
      <c r="AJ345">
        <v>1</v>
      </c>
      <c r="AK345">
        <v>8</v>
      </c>
      <c r="AL345" t="s">
        <v>5914</v>
      </c>
      <c r="AM345" t="s">
        <v>5915</v>
      </c>
      <c r="AN345" t="s">
        <v>5916</v>
      </c>
      <c r="AO345" t="s">
        <v>5917</v>
      </c>
      <c r="AP345" t="s">
        <v>74</v>
      </c>
      <c r="AQ345" t="s">
        <v>74</v>
      </c>
      <c r="AR345" t="s">
        <v>5918</v>
      </c>
      <c r="AS345" t="s">
        <v>5919</v>
      </c>
      <c r="AT345" t="s">
        <v>74</v>
      </c>
      <c r="AU345">
        <v>2008</v>
      </c>
      <c r="AV345">
        <v>4</v>
      </c>
      <c r="AW345" t="s">
        <v>551</v>
      </c>
      <c r="AX345" t="s">
        <v>74</v>
      </c>
      <c r="AY345" t="s">
        <v>74</v>
      </c>
      <c r="AZ345" t="s">
        <v>74</v>
      </c>
      <c r="BA345" t="s">
        <v>74</v>
      </c>
      <c r="BB345">
        <v>3</v>
      </c>
      <c r="BC345">
        <v>24</v>
      </c>
      <c r="BD345" t="s">
        <v>74</v>
      </c>
      <c r="BE345" t="s">
        <v>5920</v>
      </c>
      <c r="BF345" t="str">
        <f>HYPERLINK("http://dx.doi.org/10.1080/17451000701847863","http://dx.doi.org/10.1080/17451000701847863")</f>
        <v>http://dx.doi.org/10.1080/17451000701847863</v>
      </c>
      <c r="BG345" t="s">
        <v>74</v>
      </c>
      <c r="BH345" t="s">
        <v>74</v>
      </c>
      <c r="BI345">
        <v>22</v>
      </c>
      <c r="BJ345" t="s">
        <v>789</v>
      </c>
      <c r="BK345" t="s">
        <v>97</v>
      </c>
      <c r="BL345" t="s">
        <v>790</v>
      </c>
      <c r="BM345" t="s">
        <v>5921</v>
      </c>
      <c r="BN345" t="s">
        <v>74</v>
      </c>
      <c r="BO345" t="s">
        <v>74</v>
      </c>
      <c r="BP345" t="s">
        <v>74</v>
      </c>
      <c r="BQ345" t="s">
        <v>74</v>
      </c>
      <c r="BR345" t="s">
        <v>100</v>
      </c>
      <c r="BS345" t="s">
        <v>5922</v>
      </c>
      <c r="BT345" t="str">
        <f>HYPERLINK("https%3A%2F%2Fwww.webofscience.com%2Fwos%2Fwoscc%2Ffull-record%2FWOS:000253507900002","View Full Record in Web of Science")</f>
        <v>View Full Record in Web of Science</v>
      </c>
    </row>
    <row r="346" spans="1:72" x14ac:dyDescent="0.15">
      <c r="A346" t="s">
        <v>72</v>
      </c>
      <c r="B346" t="s">
        <v>5923</v>
      </c>
      <c r="C346" t="s">
        <v>74</v>
      </c>
      <c r="D346" t="s">
        <v>74</v>
      </c>
      <c r="E346" t="s">
        <v>74</v>
      </c>
      <c r="F346" t="s">
        <v>5924</v>
      </c>
      <c r="G346" t="s">
        <v>74</v>
      </c>
      <c r="H346" t="s">
        <v>74</v>
      </c>
      <c r="I346" t="s">
        <v>5925</v>
      </c>
      <c r="J346" t="s">
        <v>5926</v>
      </c>
      <c r="K346" t="s">
        <v>74</v>
      </c>
      <c r="L346" t="s">
        <v>74</v>
      </c>
      <c r="M346" t="s">
        <v>78</v>
      </c>
      <c r="N346" t="s">
        <v>79</v>
      </c>
      <c r="O346" t="s">
        <v>74</v>
      </c>
      <c r="P346" t="s">
        <v>74</v>
      </c>
      <c r="Q346" t="s">
        <v>74</v>
      </c>
      <c r="R346" t="s">
        <v>74</v>
      </c>
      <c r="S346" t="s">
        <v>74</v>
      </c>
      <c r="T346" t="s">
        <v>5927</v>
      </c>
      <c r="U346" t="s">
        <v>5928</v>
      </c>
      <c r="V346" t="s">
        <v>5929</v>
      </c>
      <c r="W346" t="s">
        <v>5930</v>
      </c>
      <c r="X346" t="s">
        <v>5931</v>
      </c>
      <c r="Y346" t="s">
        <v>5932</v>
      </c>
      <c r="Z346" t="s">
        <v>4138</v>
      </c>
      <c r="AA346" t="s">
        <v>5933</v>
      </c>
      <c r="AB346" t="s">
        <v>5934</v>
      </c>
      <c r="AC346" t="s">
        <v>74</v>
      </c>
      <c r="AD346" t="s">
        <v>74</v>
      </c>
      <c r="AE346" t="s">
        <v>74</v>
      </c>
      <c r="AF346" t="s">
        <v>74</v>
      </c>
      <c r="AG346">
        <v>36</v>
      </c>
      <c r="AH346">
        <v>61</v>
      </c>
      <c r="AI346">
        <v>69</v>
      </c>
      <c r="AJ346">
        <v>1</v>
      </c>
      <c r="AK346">
        <v>16</v>
      </c>
      <c r="AL346" t="s">
        <v>1265</v>
      </c>
      <c r="AM346" t="s">
        <v>662</v>
      </c>
      <c r="AN346" t="s">
        <v>1266</v>
      </c>
      <c r="AO346" t="s">
        <v>5935</v>
      </c>
      <c r="AP346" t="s">
        <v>5936</v>
      </c>
      <c r="AQ346" t="s">
        <v>74</v>
      </c>
      <c r="AR346" t="s">
        <v>5937</v>
      </c>
      <c r="AS346" t="s">
        <v>5938</v>
      </c>
      <c r="AT346" t="s">
        <v>1490</v>
      </c>
      <c r="AU346">
        <v>2008</v>
      </c>
      <c r="AV346">
        <v>10</v>
      </c>
      <c r="AW346">
        <v>1</v>
      </c>
      <c r="AX346" t="s">
        <v>74</v>
      </c>
      <c r="AY346" t="s">
        <v>74</v>
      </c>
      <c r="AZ346" t="s">
        <v>74</v>
      </c>
      <c r="BA346" t="s">
        <v>74</v>
      </c>
      <c r="BB346">
        <v>75</v>
      </c>
      <c r="BC346">
        <v>82</v>
      </c>
      <c r="BD346" t="s">
        <v>74</v>
      </c>
      <c r="BE346" t="s">
        <v>5939</v>
      </c>
      <c r="BF346" t="str">
        <f>HYPERLINK("http://dx.doi.org/10.1007/s10126-007-9035-z","http://dx.doi.org/10.1007/s10126-007-9035-z")</f>
        <v>http://dx.doi.org/10.1007/s10126-007-9035-z</v>
      </c>
      <c r="BG346" t="s">
        <v>74</v>
      </c>
      <c r="BH346" t="s">
        <v>74</v>
      </c>
      <c r="BI346">
        <v>8</v>
      </c>
      <c r="BJ346" t="s">
        <v>5940</v>
      </c>
      <c r="BK346" t="s">
        <v>97</v>
      </c>
      <c r="BL346" t="s">
        <v>5940</v>
      </c>
      <c r="BM346" t="s">
        <v>5941</v>
      </c>
      <c r="BN346">
        <v>17934774</v>
      </c>
      <c r="BO346" t="s">
        <v>250</v>
      </c>
      <c r="BP346" t="s">
        <v>74</v>
      </c>
      <c r="BQ346" t="s">
        <v>74</v>
      </c>
      <c r="BR346" t="s">
        <v>100</v>
      </c>
      <c r="BS346" t="s">
        <v>5942</v>
      </c>
      <c r="BT346" t="str">
        <f>HYPERLINK("https%3A%2F%2Fwww.webofscience.com%2Fwos%2Fwoscc%2Ffull-record%2FWOS:000252925500009","View Full Record in Web of Science")</f>
        <v>View Full Record in Web of Science</v>
      </c>
    </row>
    <row r="347" spans="1:72" x14ac:dyDescent="0.15">
      <c r="A347" t="s">
        <v>72</v>
      </c>
      <c r="B347" t="s">
        <v>5943</v>
      </c>
      <c r="C347" t="s">
        <v>74</v>
      </c>
      <c r="D347" t="s">
        <v>74</v>
      </c>
      <c r="E347" t="s">
        <v>74</v>
      </c>
      <c r="F347" t="s">
        <v>5944</v>
      </c>
      <c r="G347" t="s">
        <v>74</v>
      </c>
      <c r="H347" t="s">
        <v>74</v>
      </c>
      <c r="I347" t="s">
        <v>5945</v>
      </c>
      <c r="J347" t="s">
        <v>475</v>
      </c>
      <c r="K347" t="s">
        <v>74</v>
      </c>
      <c r="L347" t="s">
        <v>74</v>
      </c>
      <c r="M347" t="s">
        <v>78</v>
      </c>
      <c r="N347" t="s">
        <v>79</v>
      </c>
      <c r="O347" t="s">
        <v>74</v>
      </c>
      <c r="P347" t="s">
        <v>74</v>
      </c>
      <c r="Q347" t="s">
        <v>74</v>
      </c>
      <c r="R347" t="s">
        <v>74</v>
      </c>
      <c r="S347" t="s">
        <v>74</v>
      </c>
      <c r="T347" t="s">
        <v>5946</v>
      </c>
      <c r="U347" t="s">
        <v>5947</v>
      </c>
      <c r="V347" t="s">
        <v>5948</v>
      </c>
      <c r="W347" t="s">
        <v>5949</v>
      </c>
      <c r="X347" t="s">
        <v>5950</v>
      </c>
      <c r="Y347" t="s">
        <v>5951</v>
      </c>
      <c r="Z347" t="s">
        <v>5952</v>
      </c>
      <c r="AA347" t="s">
        <v>5953</v>
      </c>
      <c r="AB347" t="s">
        <v>5954</v>
      </c>
      <c r="AC347" t="s">
        <v>74</v>
      </c>
      <c r="AD347" t="s">
        <v>74</v>
      </c>
      <c r="AE347" t="s">
        <v>74</v>
      </c>
      <c r="AF347" t="s">
        <v>74</v>
      </c>
      <c r="AG347">
        <v>31</v>
      </c>
      <c r="AH347">
        <v>114</v>
      </c>
      <c r="AI347">
        <v>120</v>
      </c>
      <c r="AJ347">
        <v>1</v>
      </c>
      <c r="AK347">
        <v>25</v>
      </c>
      <c r="AL347" t="s">
        <v>506</v>
      </c>
      <c r="AM347" t="s">
        <v>266</v>
      </c>
      <c r="AN347" t="s">
        <v>507</v>
      </c>
      <c r="AO347" t="s">
        <v>484</v>
      </c>
      <c r="AP347" t="s">
        <v>485</v>
      </c>
      <c r="AQ347" t="s">
        <v>74</v>
      </c>
      <c r="AR347" t="s">
        <v>486</v>
      </c>
      <c r="AS347" t="s">
        <v>487</v>
      </c>
      <c r="AT347" t="s">
        <v>2143</v>
      </c>
      <c r="AU347">
        <v>2008</v>
      </c>
      <c r="AV347">
        <v>108</v>
      </c>
      <c r="AW347" t="s">
        <v>551</v>
      </c>
      <c r="AX347" t="s">
        <v>74</v>
      </c>
      <c r="AY347" t="s">
        <v>74</v>
      </c>
      <c r="AZ347" t="s">
        <v>74</v>
      </c>
      <c r="BA347" t="s">
        <v>74</v>
      </c>
      <c r="BB347">
        <v>85</v>
      </c>
      <c r="BC347">
        <v>95</v>
      </c>
      <c r="BD347" t="s">
        <v>74</v>
      </c>
      <c r="BE347" t="s">
        <v>5955</v>
      </c>
      <c r="BF347" t="str">
        <f>HYPERLINK("http://dx.doi.org/10.1016/j.marchem.2007.10.006","http://dx.doi.org/10.1016/j.marchem.2007.10.006")</f>
        <v>http://dx.doi.org/10.1016/j.marchem.2007.10.006</v>
      </c>
      <c r="BG347" t="s">
        <v>74</v>
      </c>
      <c r="BH347" t="s">
        <v>74</v>
      </c>
      <c r="BI347">
        <v>11</v>
      </c>
      <c r="BJ347" t="s">
        <v>491</v>
      </c>
      <c r="BK347" t="s">
        <v>97</v>
      </c>
      <c r="BL347" t="s">
        <v>492</v>
      </c>
      <c r="BM347" t="s">
        <v>5956</v>
      </c>
      <c r="BN347" t="s">
        <v>74</v>
      </c>
      <c r="BO347" t="s">
        <v>74</v>
      </c>
      <c r="BP347" t="s">
        <v>74</v>
      </c>
      <c r="BQ347" t="s">
        <v>74</v>
      </c>
      <c r="BR347" t="s">
        <v>100</v>
      </c>
      <c r="BS347" t="s">
        <v>5957</v>
      </c>
      <c r="BT347" t="str">
        <f>HYPERLINK("https%3A%2F%2Fwww.webofscience.com%2Fwos%2Fwoscc%2Ffull-record%2FWOS:000252870800007","View Full Record in Web of Science")</f>
        <v>View Full Record in Web of Science</v>
      </c>
    </row>
    <row r="348" spans="1:72" x14ac:dyDescent="0.15">
      <c r="A348" t="s">
        <v>72</v>
      </c>
      <c r="B348" t="s">
        <v>5958</v>
      </c>
      <c r="C348" t="s">
        <v>74</v>
      </c>
      <c r="D348" t="s">
        <v>74</v>
      </c>
      <c r="E348" t="s">
        <v>74</v>
      </c>
      <c r="F348" t="s">
        <v>5959</v>
      </c>
      <c r="G348" t="s">
        <v>74</v>
      </c>
      <c r="H348" t="s">
        <v>74</v>
      </c>
      <c r="I348" t="s">
        <v>5960</v>
      </c>
      <c r="J348" t="s">
        <v>5961</v>
      </c>
      <c r="K348" t="s">
        <v>74</v>
      </c>
      <c r="L348" t="s">
        <v>74</v>
      </c>
      <c r="M348" t="s">
        <v>78</v>
      </c>
      <c r="N348" t="s">
        <v>79</v>
      </c>
      <c r="O348" t="s">
        <v>74</v>
      </c>
      <c r="P348" t="s">
        <v>74</v>
      </c>
      <c r="Q348" t="s">
        <v>74</v>
      </c>
      <c r="R348" t="s">
        <v>74</v>
      </c>
      <c r="S348" t="s">
        <v>74</v>
      </c>
      <c r="T348" t="s">
        <v>5962</v>
      </c>
      <c r="U348" t="s">
        <v>5963</v>
      </c>
      <c r="V348" t="s">
        <v>5964</v>
      </c>
      <c r="W348" t="s">
        <v>5965</v>
      </c>
      <c r="X348" t="s">
        <v>5966</v>
      </c>
      <c r="Y348" t="s">
        <v>5967</v>
      </c>
      <c r="Z348" t="s">
        <v>5968</v>
      </c>
      <c r="AA348" t="s">
        <v>5969</v>
      </c>
      <c r="AB348" t="s">
        <v>5970</v>
      </c>
      <c r="AC348" t="s">
        <v>5971</v>
      </c>
      <c r="AD348" t="s">
        <v>5972</v>
      </c>
      <c r="AE348" t="s">
        <v>5973</v>
      </c>
      <c r="AF348" t="s">
        <v>74</v>
      </c>
      <c r="AG348">
        <v>42</v>
      </c>
      <c r="AH348">
        <v>56</v>
      </c>
      <c r="AI348">
        <v>58</v>
      </c>
      <c r="AJ348">
        <v>3</v>
      </c>
      <c r="AK348">
        <v>21</v>
      </c>
      <c r="AL348" t="s">
        <v>167</v>
      </c>
      <c r="AM348" t="s">
        <v>168</v>
      </c>
      <c r="AN348" t="s">
        <v>169</v>
      </c>
      <c r="AO348" t="s">
        <v>5974</v>
      </c>
      <c r="AP348" t="s">
        <v>74</v>
      </c>
      <c r="AQ348" t="s">
        <v>74</v>
      </c>
      <c r="AR348" t="s">
        <v>5975</v>
      </c>
      <c r="AS348" t="s">
        <v>5976</v>
      </c>
      <c r="AT348" t="s">
        <v>74</v>
      </c>
      <c r="AU348">
        <v>2008</v>
      </c>
      <c r="AV348">
        <v>373</v>
      </c>
      <c r="AW348" t="s">
        <v>74</v>
      </c>
      <c r="AX348" t="s">
        <v>74</v>
      </c>
      <c r="AY348" t="s">
        <v>74</v>
      </c>
      <c r="AZ348" t="s">
        <v>74</v>
      </c>
      <c r="BA348" t="s">
        <v>74</v>
      </c>
      <c r="BB348">
        <v>137</v>
      </c>
      <c r="BC348">
        <v>148</v>
      </c>
      <c r="BD348" t="s">
        <v>74</v>
      </c>
      <c r="BE348" t="s">
        <v>5977</v>
      </c>
      <c r="BF348" t="str">
        <f>HYPERLINK("http://dx.doi.org/10.3354/meps07751","http://dx.doi.org/10.3354/meps07751")</f>
        <v>http://dx.doi.org/10.3354/meps07751</v>
      </c>
      <c r="BG348" t="s">
        <v>74</v>
      </c>
      <c r="BH348" t="s">
        <v>74</v>
      </c>
      <c r="BI348">
        <v>12</v>
      </c>
      <c r="BJ348" t="s">
        <v>5978</v>
      </c>
      <c r="BK348" t="s">
        <v>97</v>
      </c>
      <c r="BL348" t="s">
        <v>5979</v>
      </c>
      <c r="BM348" t="s">
        <v>5980</v>
      </c>
      <c r="BN348" t="s">
        <v>74</v>
      </c>
      <c r="BO348" t="s">
        <v>179</v>
      </c>
      <c r="BP348" t="s">
        <v>74</v>
      </c>
      <c r="BQ348" t="s">
        <v>74</v>
      </c>
      <c r="BR348" t="s">
        <v>100</v>
      </c>
      <c r="BS348" t="s">
        <v>5981</v>
      </c>
      <c r="BT348" t="str">
        <f>HYPERLINK("https%3A%2F%2Fwww.webofscience.com%2Fwos%2Fwoscc%2Ffull-record%2FWOS:000262731000011","View Full Record in Web of Science")</f>
        <v>View Full Record in Web of Science</v>
      </c>
    </row>
    <row r="349" spans="1:72" x14ac:dyDescent="0.15">
      <c r="A349" t="s">
        <v>72</v>
      </c>
      <c r="B349" t="s">
        <v>5982</v>
      </c>
      <c r="C349" t="s">
        <v>74</v>
      </c>
      <c r="D349" t="s">
        <v>74</v>
      </c>
      <c r="E349" t="s">
        <v>74</v>
      </c>
      <c r="F349" t="s">
        <v>5983</v>
      </c>
      <c r="G349" t="s">
        <v>74</v>
      </c>
      <c r="H349" t="s">
        <v>74</v>
      </c>
      <c r="I349" t="s">
        <v>5984</v>
      </c>
      <c r="J349" t="s">
        <v>5961</v>
      </c>
      <c r="K349" t="s">
        <v>74</v>
      </c>
      <c r="L349" t="s">
        <v>74</v>
      </c>
      <c r="M349" t="s">
        <v>78</v>
      </c>
      <c r="N349" t="s">
        <v>79</v>
      </c>
      <c r="O349" t="s">
        <v>74</v>
      </c>
      <c r="P349" t="s">
        <v>74</v>
      </c>
      <c r="Q349" t="s">
        <v>74</v>
      </c>
      <c r="R349" t="s">
        <v>74</v>
      </c>
      <c r="S349" t="s">
        <v>74</v>
      </c>
      <c r="T349" t="s">
        <v>5985</v>
      </c>
      <c r="U349" t="s">
        <v>5986</v>
      </c>
      <c r="V349" t="s">
        <v>5987</v>
      </c>
      <c r="W349" t="s">
        <v>5988</v>
      </c>
      <c r="X349" t="s">
        <v>5989</v>
      </c>
      <c r="Y349" t="s">
        <v>5990</v>
      </c>
      <c r="Z349" t="s">
        <v>5991</v>
      </c>
      <c r="AA349" t="s">
        <v>74</v>
      </c>
      <c r="AB349" t="s">
        <v>74</v>
      </c>
      <c r="AC349" t="s">
        <v>5992</v>
      </c>
      <c r="AD349" t="s">
        <v>5993</v>
      </c>
      <c r="AE349" t="s">
        <v>5994</v>
      </c>
      <c r="AF349" t="s">
        <v>74</v>
      </c>
      <c r="AG349">
        <v>68</v>
      </c>
      <c r="AH349">
        <v>61</v>
      </c>
      <c r="AI349">
        <v>68</v>
      </c>
      <c r="AJ349">
        <v>4</v>
      </c>
      <c r="AK349">
        <v>41</v>
      </c>
      <c r="AL349" t="s">
        <v>167</v>
      </c>
      <c r="AM349" t="s">
        <v>168</v>
      </c>
      <c r="AN349" t="s">
        <v>169</v>
      </c>
      <c r="AO349" t="s">
        <v>5974</v>
      </c>
      <c r="AP349" t="s">
        <v>5995</v>
      </c>
      <c r="AQ349" t="s">
        <v>74</v>
      </c>
      <c r="AR349" t="s">
        <v>5975</v>
      </c>
      <c r="AS349" t="s">
        <v>5976</v>
      </c>
      <c r="AT349" t="s">
        <v>74</v>
      </c>
      <c r="AU349">
        <v>2008</v>
      </c>
      <c r="AV349">
        <v>373</v>
      </c>
      <c r="AW349" t="s">
        <v>74</v>
      </c>
      <c r="AX349" t="s">
        <v>74</v>
      </c>
      <c r="AY349" t="s">
        <v>74</v>
      </c>
      <c r="AZ349" t="s">
        <v>74</v>
      </c>
      <c r="BA349" t="s">
        <v>74</v>
      </c>
      <c r="BB349">
        <v>157</v>
      </c>
      <c r="BC349">
        <v>172</v>
      </c>
      <c r="BD349" t="s">
        <v>74</v>
      </c>
      <c r="BE349" t="s">
        <v>5996</v>
      </c>
      <c r="BF349" t="str">
        <f>HYPERLINK("http://dx.doi.org/10.3354/meps07737","http://dx.doi.org/10.3354/meps07737")</f>
        <v>http://dx.doi.org/10.3354/meps07737</v>
      </c>
      <c r="BG349" t="s">
        <v>74</v>
      </c>
      <c r="BH349" t="s">
        <v>74</v>
      </c>
      <c r="BI349">
        <v>16</v>
      </c>
      <c r="BJ349" t="s">
        <v>5978</v>
      </c>
      <c r="BK349" t="s">
        <v>97</v>
      </c>
      <c r="BL349" t="s">
        <v>5979</v>
      </c>
      <c r="BM349" t="s">
        <v>5980</v>
      </c>
      <c r="BN349" t="s">
        <v>74</v>
      </c>
      <c r="BO349" t="s">
        <v>179</v>
      </c>
      <c r="BP349" t="s">
        <v>74</v>
      </c>
      <c r="BQ349" t="s">
        <v>74</v>
      </c>
      <c r="BR349" t="s">
        <v>100</v>
      </c>
      <c r="BS349" t="s">
        <v>5997</v>
      </c>
      <c r="BT349" t="str">
        <f>HYPERLINK("https%3A%2F%2Fwww.webofscience.com%2Fwos%2Fwoscc%2Ffull-record%2FWOS:000262731000013","View Full Record in Web of Science")</f>
        <v>View Full Record in Web of Science</v>
      </c>
    </row>
    <row r="350" spans="1:72" x14ac:dyDescent="0.15">
      <c r="A350" t="s">
        <v>72</v>
      </c>
      <c r="B350" t="s">
        <v>5998</v>
      </c>
      <c r="C350" t="s">
        <v>74</v>
      </c>
      <c r="D350" t="s">
        <v>74</v>
      </c>
      <c r="E350" t="s">
        <v>74</v>
      </c>
      <c r="F350" t="s">
        <v>5999</v>
      </c>
      <c r="G350" t="s">
        <v>74</v>
      </c>
      <c r="H350" t="s">
        <v>74</v>
      </c>
      <c r="I350" t="s">
        <v>6000</v>
      </c>
      <c r="J350" t="s">
        <v>5961</v>
      </c>
      <c r="K350" t="s">
        <v>74</v>
      </c>
      <c r="L350" t="s">
        <v>74</v>
      </c>
      <c r="M350" t="s">
        <v>78</v>
      </c>
      <c r="N350" t="s">
        <v>79</v>
      </c>
      <c r="O350" t="s">
        <v>74</v>
      </c>
      <c r="P350" t="s">
        <v>74</v>
      </c>
      <c r="Q350" t="s">
        <v>74</v>
      </c>
      <c r="R350" t="s">
        <v>74</v>
      </c>
      <c r="S350" t="s">
        <v>74</v>
      </c>
      <c r="T350" t="s">
        <v>6001</v>
      </c>
      <c r="U350" t="s">
        <v>6002</v>
      </c>
      <c r="V350" t="s">
        <v>6003</v>
      </c>
      <c r="W350" t="s">
        <v>6004</v>
      </c>
      <c r="X350" t="s">
        <v>6005</v>
      </c>
      <c r="Y350" t="s">
        <v>6006</v>
      </c>
      <c r="Z350" t="s">
        <v>6007</v>
      </c>
      <c r="AA350" t="s">
        <v>74</v>
      </c>
      <c r="AB350" t="s">
        <v>74</v>
      </c>
      <c r="AC350" t="s">
        <v>74</v>
      </c>
      <c r="AD350" t="s">
        <v>74</v>
      </c>
      <c r="AE350" t="s">
        <v>74</v>
      </c>
      <c r="AF350" t="s">
        <v>74</v>
      </c>
      <c r="AG350">
        <v>43</v>
      </c>
      <c r="AH350">
        <v>9</v>
      </c>
      <c r="AI350">
        <v>10</v>
      </c>
      <c r="AJ350">
        <v>0</v>
      </c>
      <c r="AK350">
        <v>4</v>
      </c>
      <c r="AL350" t="s">
        <v>167</v>
      </c>
      <c r="AM350" t="s">
        <v>168</v>
      </c>
      <c r="AN350" t="s">
        <v>169</v>
      </c>
      <c r="AO350" t="s">
        <v>5974</v>
      </c>
      <c r="AP350" t="s">
        <v>5995</v>
      </c>
      <c r="AQ350" t="s">
        <v>74</v>
      </c>
      <c r="AR350" t="s">
        <v>5975</v>
      </c>
      <c r="AS350" t="s">
        <v>5976</v>
      </c>
      <c r="AT350" t="s">
        <v>74</v>
      </c>
      <c r="AU350">
        <v>2008</v>
      </c>
      <c r="AV350">
        <v>373</v>
      </c>
      <c r="AW350" t="s">
        <v>74</v>
      </c>
      <c r="AX350" t="s">
        <v>74</v>
      </c>
      <c r="AY350" t="s">
        <v>74</v>
      </c>
      <c r="AZ350" t="s">
        <v>74</v>
      </c>
      <c r="BA350" t="s">
        <v>74</v>
      </c>
      <c r="BB350">
        <v>193</v>
      </c>
      <c r="BC350">
        <v>198</v>
      </c>
      <c r="BD350" t="s">
        <v>74</v>
      </c>
      <c r="BE350" t="s">
        <v>6008</v>
      </c>
      <c r="BF350" t="str">
        <f>HYPERLINK("http://dx.doi.org/10.3354/meps07856","http://dx.doi.org/10.3354/meps07856")</f>
        <v>http://dx.doi.org/10.3354/meps07856</v>
      </c>
      <c r="BG350" t="s">
        <v>74</v>
      </c>
      <c r="BH350" t="s">
        <v>74</v>
      </c>
      <c r="BI350">
        <v>6</v>
      </c>
      <c r="BJ350" t="s">
        <v>5978</v>
      </c>
      <c r="BK350" t="s">
        <v>97</v>
      </c>
      <c r="BL350" t="s">
        <v>5979</v>
      </c>
      <c r="BM350" t="s">
        <v>5980</v>
      </c>
      <c r="BN350" t="s">
        <v>74</v>
      </c>
      <c r="BO350" t="s">
        <v>179</v>
      </c>
      <c r="BP350" t="s">
        <v>74</v>
      </c>
      <c r="BQ350" t="s">
        <v>74</v>
      </c>
      <c r="BR350" t="s">
        <v>100</v>
      </c>
      <c r="BS350" t="s">
        <v>6009</v>
      </c>
      <c r="BT350" t="str">
        <f>HYPERLINK("https%3A%2F%2Fwww.webofscience.com%2Fwos%2Fwoscc%2Ffull-record%2FWOS:000262731000016","View Full Record in Web of Science")</f>
        <v>View Full Record in Web of Science</v>
      </c>
    </row>
    <row r="351" spans="1:72" x14ac:dyDescent="0.15">
      <c r="A351" t="s">
        <v>72</v>
      </c>
      <c r="B351" t="s">
        <v>6010</v>
      </c>
      <c r="C351" t="s">
        <v>74</v>
      </c>
      <c r="D351" t="s">
        <v>74</v>
      </c>
      <c r="E351" t="s">
        <v>74</v>
      </c>
      <c r="F351" t="s">
        <v>6011</v>
      </c>
      <c r="G351" t="s">
        <v>74</v>
      </c>
      <c r="H351" t="s">
        <v>74</v>
      </c>
      <c r="I351" t="s">
        <v>6012</v>
      </c>
      <c r="J351" t="s">
        <v>5961</v>
      </c>
      <c r="K351" t="s">
        <v>74</v>
      </c>
      <c r="L351" t="s">
        <v>74</v>
      </c>
      <c r="M351" t="s">
        <v>78</v>
      </c>
      <c r="N351" t="s">
        <v>79</v>
      </c>
      <c r="O351" t="s">
        <v>74</v>
      </c>
      <c r="P351" t="s">
        <v>74</v>
      </c>
      <c r="Q351" t="s">
        <v>74</v>
      </c>
      <c r="R351" t="s">
        <v>74</v>
      </c>
      <c r="S351" t="s">
        <v>74</v>
      </c>
      <c r="T351" t="s">
        <v>6013</v>
      </c>
      <c r="U351" t="s">
        <v>6014</v>
      </c>
      <c r="V351" t="s">
        <v>6015</v>
      </c>
      <c r="W351" t="s">
        <v>6016</v>
      </c>
      <c r="X351" t="s">
        <v>6017</v>
      </c>
      <c r="Y351" t="s">
        <v>6018</v>
      </c>
      <c r="Z351" t="s">
        <v>6019</v>
      </c>
      <c r="AA351" t="s">
        <v>6020</v>
      </c>
      <c r="AB351" t="s">
        <v>6021</v>
      </c>
      <c r="AC351" t="s">
        <v>6022</v>
      </c>
      <c r="AD351" t="s">
        <v>6023</v>
      </c>
      <c r="AE351" t="s">
        <v>6024</v>
      </c>
      <c r="AF351" t="s">
        <v>74</v>
      </c>
      <c r="AG351">
        <v>57</v>
      </c>
      <c r="AH351">
        <v>236</v>
      </c>
      <c r="AI351">
        <v>263</v>
      </c>
      <c r="AJ351">
        <v>1</v>
      </c>
      <c r="AK351">
        <v>149</v>
      </c>
      <c r="AL351" t="s">
        <v>167</v>
      </c>
      <c r="AM351" t="s">
        <v>168</v>
      </c>
      <c r="AN351" t="s">
        <v>169</v>
      </c>
      <c r="AO351" t="s">
        <v>5974</v>
      </c>
      <c r="AP351" t="s">
        <v>5995</v>
      </c>
      <c r="AQ351" t="s">
        <v>74</v>
      </c>
      <c r="AR351" t="s">
        <v>5975</v>
      </c>
      <c r="AS351" t="s">
        <v>5976</v>
      </c>
      <c r="AT351" t="s">
        <v>74</v>
      </c>
      <c r="AU351">
        <v>2008</v>
      </c>
      <c r="AV351">
        <v>373</v>
      </c>
      <c r="AW351" t="s">
        <v>74</v>
      </c>
      <c r="AX351" t="s">
        <v>74</v>
      </c>
      <c r="AY351" t="s">
        <v>74</v>
      </c>
      <c r="AZ351" t="s">
        <v>74</v>
      </c>
      <c r="BA351" t="s">
        <v>74</v>
      </c>
      <c r="BB351">
        <v>285</v>
      </c>
      <c r="BC351">
        <v>294</v>
      </c>
      <c r="BD351" t="s">
        <v>74</v>
      </c>
      <c r="BE351" t="s">
        <v>6025</v>
      </c>
      <c r="BF351" t="str">
        <f>HYPERLINK("http://dx.doi.org/10.3354/meps07800","http://dx.doi.org/10.3354/meps07800")</f>
        <v>http://dx.doi.org/10.3354/meps07800</v>
      </c>
      <c r="BG351" t="s">
        <v>74</v>
      </c>
      <c r="BH351" t="s">
        <v>74</v>
      </c>
      <c r="BI351">
        <v>10</v>
      </c>
      <c r="BJ351" t="s">
        <v>5978</v>
      </c>
      <c r="BK351" t="s">
        <v>97</v>
      </c>
      <c r="BL351" t="s">
        <v>5979</v>
      </c>
      <c r="BM351" t="s">
        <v>5980</v>
      </c>
      <c r="BN351" t="s">
        <v>74</v>
      </c>
      <c r="BO351" t="s">
        <v>592</v>
      </c>
      <c r="BP351" t="s">
        <v>74</v>
      </c>
      <c r="BQ351" t="s">
        <v>74</v>
      </c>
      <c r="BR351" t="s">
        <v>100</v>
      </c>
      <c r="BS351" t="s">
        <v>6026</v>
      </c>
      <c r="BT351" t="str">
        <f>HYPERLINK("https%3A%2F%2Fwww.webofscience.com%2Fwos%2Fwoscc%2Ffull-record%2FWOS:000262731000026","View Full Record in Web of Science")</f>
        <v>View Full Record in Web of Science</v>
      </c>
    </row>
    <row r="352" spans="1:72" x14ac:dyDescent="0.15">
      <c r="A352" t="s">
        <v>72</v>
      </c>
      <c r="B352" t="s">
        <v>6027</v>
      </c>
      <c r="C352" t="s">
        <v>74</v>
      </c>
      <c r="D352" t="s">
        <v>74</v>
      </c>
      <c r="E352" t="s">
        <v>74</v>
      </c>
      <c r="F352" t="s">
        <v>6028</v>
      </c>
      <c r="G352" t="s">
        <v>74</v>
      </c>
      <c r="H352" t="s">
        <v>74</v>
      </c>
      <c r="I352" t="s">
        <v>6029</v>
      </c>
      <c r="J352" t="s">
        <v>5961</v>
      </c>
      <c r="K352" t="s">
        <v>74</v>
      </c>
      <c r="L352" t="s">
        <v>74</v>
      </c>
      <c r="M352" t="s">
        <v>78</v>
      </c>
      <c r="N352" t="s">
        <v>79</v>
      </c>
      <c r="O352" t="s">
        <v>74</v>
      </c>
      <c r="P352" t="s">
        <v>74</v>
      </c>
      <c r="Q352" t="s">
        <v>74</v>
      </c>
      <c r="R352" t="s">
        <v>74</v>
      </c>
      <c r="S352" t="s">
        <v>74</v>
      </c>
      <c r="T352" t="s">
        <v>6030</v>
      </c>
      <c r="U352" t="s">
        <v>6031</v>
      </c>
      <c r="V352" t="s">
        <v>6032</v>
      </c>
      <c r="W352" t="s">
        <v>6033</v>
      </c>
      <c r="X352" t="s">
        <v>6034</v>
      </c>
      <c r="Y352" t="s">
        <v>6035</v>
      </c>
      <c r="Z352" t="s">
        <v>6036</v>
      </c>
      <c r="AA352" t="s">
        <v>6037</v>
      </c>
      <c r="AB352" t="s">
        <v>6038</v>
      </c>
      <c r="AC352" t="s">
        <v>6039</v>
      </c>
      <c r="AD352" t="s">
        <v>6039</v>
      </c>
      <c r="AE352" t="s">
        <v>6040</v>
      </c>
      <c r="AF352" t="s">
        <v>74</v>
      </c>
      <c r="AG352">
        <v>45</v>
      </c>
      <c r="AH352">
        <v>41</v>
      </c>
      <c r="AI352">
        <v>41</v>
      </c>
      <c r="AJ352">
        <v>2</v>
      </c>
      <c r="AK352">
        <v>37</v>
      </c>
      <c r="AL352" t="s">
        <v>167</v>
      </c>
      <c r="AM352" t="s">
        <v>168</v>
      </c>
      <c r="AN352" t="s">
        <v>169</v>
      </c>
      <c r="AO352" t="s">
        <v>5974</v>
      </c>
      <c r="AP352" t="s">
        <v>5995</v>
      </c>
      <c r="AQ352" t="s">
        <v>74</v>
      </c>
      <c r="AR352" t="s">
        <v>5975</v>
      </c>
      <c r="AS352" t="s">
        <v>5976</v>
      </c>
      <c r="AT352" t="s">
        <v>74</v>
      </c>
      <c r="AU352">
        <v>2008</v>
      </c>
      <c r="AV352">
        <v>372</v>
      </c>
      <c r="AW352" t="s">
        <v>74</v>
      </c>
      <c r="AX352" t="s">
        <v>74</v>
      </c>
      <c r="AY352" t="s">
        <v>74</v>
      </c>
      <c r="AZ352" t="s">
        <v>74</v>
      </c>
      <c r="BA352" t="s">
        <v>74</v>
      </c>
      <c r="BB352">
        <v>157</v>
      </c>
      <c r="BC352">
        <v>167</v>
      </c>
      <c r="BD352" t="s">
        <v>74</v>
      </c>
      <c r="BE352" t="s">
        <v>6041</v>
      </c>
      <c r="BF352" t="str">
        <f>HYPERLINK("http://dx.doi.org/10.3354/meps07707","http://dx.doi.org/10.3354/meps07707")</f>
        <v>http://dx.doi.org/10.3354/meps07707</v>
      </c>
      <c r="BG352" t="s">
        <v>74</v>
      </c>
      <c r="BH352" t="s">
        <v>74</v>
      </c>
      <c r="BI352">
        <v>11</v>
      </c>
      <c r="BJ352" t="s">
        <v>5978</v>
      </c>
      <c r="BK352" t="s">
        <v>97</v>
      </c>
      <c r="BL352" t="s">
        <v>5979</v>
      </c>
      <c r="BM352" t="s">
        <v>6042</v>
      </c>
      <c r="BN352" t="s">
        <v>74</v>
      </c>
      <c r="BO352" t="s">
        <v>179</v>
      </c>
      <c r="BP352" t="s">
        <v>74</v>
      </c>
      <c r="BQ352" t="s">
        <v>74</v>
      </c>
      <c r="BR352" t="s">
        <v>100</v>
      </c>
      <c r="BS352" t="s">
        <v>6043</v>
      </c>
      <c r="BT352" t="str">
        <f>HYPERLINK("https%3A%2F%2Fwww.webofscience.com%2Fwos%2Fwoscc%2Ffull-record%2FWOS:000262418100016","View Full Record in Web of Science")</f>
        <v>View Full Record in Web of Science</v>
      </c>
    </row>
    <row r="353" spans="1:72" x14ac:dyDescent="0.15">
      <c r="A353" t="s">
        <v>72</v>
      </c>
      <c r="B353" t="s">
        <v>6044</v>
      </c>
      <c r="C353" t="s">
        <v>74</v>
      </c>
      <c r="D353" t="s">
        <v>74</v>
      </c>
      <c r="E353" t="s">
        <v>74</v>
      </c>
      <c r="F353" t="s">
        <v>6045</v>
      </c>
      <c r="G353" t="s">
        <v>74</v>
      </c>
      <c r="H353" t="s">
        <v>74</v>
      </c>
      <c r="I353" t="s">
        <v>6046</v>
      </c>
      <c r="J353" t="s">
        <v>5961</v>
      </c>
      <c r="K353" t="s">
        <v>74</v>
      </c>
      <c r="L353" t="s">
        <v>74</v>
      </c>
      <c r="M353" t="s">
        <v>78</v>
      </c>
      <c r="N353" t="s">
        <v>79</v>
      </c>
      <c r="O353" t="s">
        <v>74</v>
      </c>
      <c r="P353" t="s">
        <v>74</v>
      </c>
      <c r="Q353" t="s">
        <v>74</v>
      </c>
      <c r="R353" t="s">
        <v>74</v>
      </c>
      <c r="S353" t="s">
        <v>74</v>
      </c>
      <c r="T353" t="s">
        <v>6047</v>
      </c>
      <c r="U353" t="s">
        <v>6048</v>
      </c>
      <c r="V353" t="s">
        <v>6049</v>
      </c>
      <c r="W353" t="s">
        <v>6050</v>
      </c>
      <c r="X353" t="s">
        <v>440</v>
      </c>
      <c r="Y353" t="s">
        <v>6051</v>
      </c>
      <c r="Z353" t="s">
        <v>6052</v>
      </c>
      <c r="AA353" t="s">
        <v>6053</v>
      </c>
      <c r="AB353" t="s">
        <v>6054</v>
      </c>
      <c r="AC353" t="s">
        <v>6055</v>
      </c>
      <c r="AD353" t="s">
        <v>444</v>
      </c>
      <c r="AE353" t="s">
        <v>74</v>
      </c>
      <c r="AF353" t="s">
        <v>74</v>
      </c>
      <c r="AG353">
        <v>36</v>
      </c>
      <c r="AH353">
        <v>19</v>
      </c>
      <c r="AI353">
        <v>20</v>
      </c>
      <c r="AJ353">
        <v>0</v>
      </c>
      <c r="AK353">
        <v>9</v>
      </c>
      <c r="AL353" t="s">
        <v>167</v>
      </c>
      <c r="AM353" t="s">
        <v>168</v>
      </c>
      <c r="AN353" t="s">
        <v>169</v>
      </c>
      <c r="AO353" t="s">
        <v>5974</v>
      </c>
      <c r="AP353" t="s">
        <v>5995</v>
      </c>
      <c r="AQ353" t="s">
        <v>74</v>
      </c>
      <c r="AR353" t="s">
        <v>5975</v>
      </c>
      <c r="AS353" t="s">
        <v>5976</v>
      </c>
      <c r="AT353" t="s">
        <v>74</v>
      </c>
      <c r="AU353">
        <v>2008</v>
      </c>
      <c r="AV353">
        <v>372</v>
      </c>
      <c r="AW353" t="s">
        <v>74</v>
      </c>
      <c r="AX353" t="s">
        <v>74</v>
      </c>
      <c r="AY353" t="s">
        <v>74</v>
      </c>
      <c r="AZ353" t="s">
        <v>74</v>
      </c>
      <c r="BA353" t="s">
        <v>74</v>
      </c>
      <c r="BB353">
        <v>169</v>
      </c>
      <c r="BC353">
        <v>180</v>
      </c>
      <c r="BD353" t="s">
        <v>74</v>
      </c>
      <c r="BE353" t="s">
        <v>6056</v>
      </c>
      <c r="BF353" t="str">
        <f>HYPERLINK("http://dx.doi.org/10.3354/meps07694","http://dx.doi.org/10.3354/meps07694")</f>
        <v>http://dx.doi.org/10.3354/meps07694</v>
      </c>
      <c r="BG353" t="s">
        <v>74</v>
      </c>
      <c r="BH353" t="s">
        <v>74</v>
      </c>
      <c r="BI353">
        <v>12</v>
      </c>
      <c r="BJ353" t="s">
        <v>5978</v>
      </c>
      <c r="BK353" t="s">
        <v>97</v>
      </c>
      <c r="BL353" t="s">
        <v>5979</v>
      </c>
      <c r="BM353" t="s">
        <v>6042</v>
      </c>
      <c r="BN353" t="s">
        <v>74</v>
      </c>
      <c r="BO353" t="s">
        <v>179</v>
      </c>
      <c r="BP353" t="s">
        <v>74</v>
      </c>
      <c r="BQ353" t="s">
        <v>74</v>
      </c>
      <c r="BR353" t="s">
        <v>100</v>
      </c>
      <c r="BS353" t="s">
        <v>6057</v>
      </c>
      <c r="BT353" t="str">
        <f>HYPERLINK("https%3A%2F%2Fwww.webofscience.com%2Fwos%2Fwoscc%2Ffull-record%2FWOS:000262418100017","View Full Record in Web of Science")</f>
        <v>View Full Record in Web of Science</v>
      </c>
    </row>
    <row r="354" spans="1:72" x14ac:dyDescent="0.15">
      <c r="A354" t="s">
        <v>72</v>
      </c>
      <c r="B354" t="s">
        <v>6058</v>
      </c>
      <c r="C354" t="s">
        <v>74</v>
      </c>
      <c r="D354" t="s">
        <v>74</v>
      </c>
      <c r="E354" t="s">
        <v>74</v>
      </c>
      <c r="F354" t="s">
        <v>6059</v>
      </c>
      <c r="G354" t="s">
        <v>74</v>
      </c>
      <c r="H354" t="s">
        <v>74</v>
      </c>
      <c r="I354" t="s">
        <v>6060</v>
      </c>
      <c r="J354" t="s">
        <v>5961</v>
      </c>
      <c r="K354" t="s">
        <v>74</v>
      </c>
      <c r="L354" t="s">
        <v>74</v>
      </c>
      <c r="M354" t="s">
        <v>78</v>
      </c>
      <c r="N354" t="s">
        <v>79</v>
      </c>
      <c r="O354" t="s">
        <v>74</v>
      </c>
      <c r="P354" t="s">
        <v>74</v>
      </c>
      <c r="Q354" t="s">
        <v>74</v>
      </c>
      <c r="R354" t="s">
        <v>74</v>
      </c>
      <c r="S354" t="s">
        <v>74</v>
      </c>
      <c r="T354" t="s">
        <v>6061</v>
      </c>
      <c r="U354" t="s">
        <v>6062</v>
      </c>
      <c r="V354" t="s">
        <v>6063</v>
      </c>
      <c r="W354" t="s">
        <v>6064</v>
      </c>
      <c r="X354" t="s">
        <v>6065</v>
      </c>
      <c r="Y354" t="s">
        <v>6066</v>
      </c>
      <c r="Z354" t="s">
        <v>6067</v>
      </c>
      <c r="AA354" t="s">
        <v>6068</v>
      </c>
      <c r="AB354" t="s">
        <v>74</v>
      </c>
      <c r="AC354" t="s">
        <v>6069</v>
      </c>
      <c r="AD354" t="s">
        <v>6069</v>
      </c>
      <c r="AE354" t="s">
        <v>6070</v>
      </c>
      <c r="AF354" t="s">
        <v>74</v>
      </c>
      <c r="AG354">
        <v>69</v>
      </c>
      <c r="AH354">
        <v>9</v>
      </c>
      <c r="AI354">
        <v>11</v>
      </c>
      <c r="AJ354">
        <v>1</v>
      </c>
      <c r="AK354">
        <v>19</v>
      </c>
      <c r="AL354" t="s">
        <v>167</v>
      </c>
      <c r="AM354" t="s">
        <v>168</v>
      </c>
      <c r="AN354" t="s">
        <v>169</v>
      </c>
      <c r="AO354" t="s">
        <v>5974</v>
      </c>
      <c r="AP354" t="s">
        <v>5995</v>
      </c>
      <c r="AQ354" t="s">
        <v>74</v>
      </c>
      <c r="AR354" t="s">
        <v>5975</v>
      </c>
      <c r="AS354" t="s">
        <v>5976</v>
      </c>
      <c r="AT354" t="s">
        <v>74</v>
      </c>
      <c r="AU354">
        <v>2008</v>
      </c>
      <c r="AV354">
        <v>372</v>
      </c>
      <c r="AW354" t="s">
        <v>74</v>
      </c>
      <c r="AX354" t="s">
        <v>74</v>
      </c>
      <c r="AY354" t="s">
        <v>74</v>
      </c>
      <c r="AZ354" t="s">
        <v>74</v>
      </c>
      <c r="BA354" t="s">
        <v>74</v>
      </c>
      <c r="BB354">
        <v>277</v>
      </c>
      <c r="BC354">
        <v>287</v>
      </c>
      <c r="BD354" t="s">
        <v>74</v>
      </c>
      <c r="BE354" t="s">
        <v>6071</v>
      </c>
      <c r="BF354" t="str">
        <f>HYPERLINK("http://dx.doi.org/10.3354/meps07689","http://dx.doi.org/10.3354/meps07689")</f>
        <v>http://dx.doi.org/10.3354/meps07689</v>
      </c>
      <c r="BG354" t="s">
        <v>74</v>
      </c>
      <c r="BH354" t="s">
        <v>74</v>
      </c>
      <c r="BI354">
        <v>11</v>
      </c>
      <c r="BJ354" t="s">
        <v>5978</v>
      </c>
      <c r="BK354" t="s">
        <v>97</v>
      </c>
      <c r="BL354" t="s">
        <v>5979</v>
      </c>
      <c r="BM354" t="s">
        <v>6042</v>
      </c>
      <c r="BN354" t="s">
        <v>74</v>
      </c>
      <c r="BO354" t="s">
        <v>1838</v>
      </c>
      <c r="BP354" t="s">
        <v>74</v>
      </c>
      <c r="BQ354" t="s">
        <v>74</v>
      </c>
      <c r="BR354" t="s">
        <v>100</v>
      </c>
      <c r="BS354" t="s">
        <v>6072</v>
      </c>
      <c r="BT354" t="str">
        <f>HYPERLINK("https%3A%2F%2Fwww.webofscience.com%2Fwos%2Fwoscc%2Ffull-record%2FWOS:000262418100026","View Full Record in Web of Science")</f>
        <v>View Full Record in Web of Science</v>
      </c>
    </row>
    <row r="355" spans="1:72" x14ac:dyDescent="0.15">
      <c r="A355" t="s">
        <v>72</v>
      </c>
      <c r="B355" t="s">
        <v>6073</v>
      </c>
      <c r="C355" t="s">
        <v>74</v>
      </c>
      <c r="D355" t="s">
        <v>74</v>
      </c>
      <c r="E355" t="s">
        <v>74</v>
      </c>
      <c r="F355" t="s">
        <v>6074</v>
      </c>
      <c r="G355" t="s">
        <v>74</v>
      </c>
      <c r="H355" t="s">
        <v>74</v>
      </c>
      <c r="I355" t="s">
        <v>6075</v>
      </c>
      <c r="J355" t="s">
        <v>5961</v>
      </c>
      <c r="K355" t="s">
        <v>74</v>
      </c>
      <c r="L355" t="s">
        <v>74</v>
      </c>
      <c r="M355" t="s">
        <v>78</v>
      </c>
      <c r="N355" t="s">
        <v>79</v>
      </c>
      <c r="O355" t="s">
        <v>74</v>
      </c>
      <c r="P355" t="s">
        <v>74</v>
      </c>
      <c r="Q355" t="s">
        <v>74</v>
      </c>
      <c r="R355" t="s">
        <v>74</v>
      </c>
      <c r="S355" t="s">
        <v>74</v>
      </c>
      <c r="T355" t="s">
        <v>6076</v>
      </c>
      <c r="U355" t="s">
        <v>6077</v>
      </c>
      <c r="V355" t="s">
        <v>6078</v>
      </c>
      <c r="W355" t="s">
        <v>6079</v>
      </c>
      <c r="X355" t="s">
        <v>6080</v>
      </c>
      <c r="Y355" t="s">
        <v>6081</v>
      </c>
      <c r="Z355" t="s">
        <v>6082</v>
      </c>
      <c r="AA355" t="s">
        <v>6083</v>
      </c>
      <c r="AB355" t="s">
        <v>6084</v>
      </c>
      <c r="AC355" t="s">
        <v>6085</v>
      </c>
      <c r="AD355" t="s">
        <v>6086</v>
      </c>
      <c r="AE355" t="s">
        <v>6087</v>
      </c>
      <c r="AF355" t="s">
        <v>74</v>
      </c>
      <c r="AG355">
        <v>66</v>
      </c>
      <c r="AH355">
        <v>27</v>
      </c>
      <c r="AI355">
        <v>30</v>
      </c>
      <c r="AJ355">
        <v>1</v>
      </c>
      <c r="AK355">
        <v>12</v>
      </c>
      <c r="AL355" t="s">
        <v>167</v>
      </c>
      <c r="AM355" t="s">
        <v>168</v>
      </c>
      <c r="AN355" t="s">
        <v>169</v>
      </c>
      <c r="AO355" t="s">
        <v>5974</v>
      </c>
      <c r="AP355" t="s">
        <v>74</v>
      </c>
      <c r="AQ355" t="s">
        <v>74</v>
      </c>
      <c r="AR355" t="s">
        <v>5975</v>
      </c>
      <c r="AS355" t="s">
        <v>5976</v>
      </c>
      <c r="AT355" t="s">
        <v>74</v>
      </c>
      <c r="AU355">
        <v>2008</v>
      </c>
      <c r="AV355">
        <v>371</v>
      </c>
      <c r="AW355" t="s">
        <v>74</v>
      </c>
      <c r="AX355" t="s">
        <v>74</v>
      </c>
      <c r="AY355" t="s">
        <v>74</v>
      </c>
      <c r="AZ355" t="s">
        <v>74</v>
      </c>
      <c r="BA355" t="s">
        <v>74</v>
      </c>
      <c r="BB355">
        <v>155</v>
      </c>
      <c r="BC355">
        <v>164</v>
      </c>
      <c r="BD355" t="s">
        <v>74</v>
      </c>
      <c r="BE355" t="s">
        <v>6088</v>
      </c>
      <c r="BF355" t="str">
        <f>HYPERLINK("http://dx.doi.org/10.3354/meps07693","http://dx.doi.org/10.3354/meps07693")</f>
        <v>http://dx.doi.org/10.3354/meps07693</v>
      </c>
      <c r="BG355" t="s">
        <v>74</v>
      </c>
      <c r="BH355" t="s">
        <v>74</v>
      </c>
      <c r="BI355">
        <v>10</v>
      </c>
      <c r="BJ355" t="s">
        <v>5978</v>
      </c>
      <c r="BK355" t="s">
        <v>97</v>
      </c>
      <c r="BL355" t="s">
        <v>5979</v>
      </c>
      <c r="BM355" t="s">
        <v>6089</v>
      </c>
      <c r="BN355" t="s">
        <v>74</v>
      </c>
      <c r="BO355" t="s">
        <v>592</v>
      </c>
      <c r="BP355" t="s">
        <v>74</v>
      </c>
      <c r="BQ355" t="s">
        <v>74</v>
      </c>
      <c r="BR355" t="s">
        <v>100</v>
      </c>
      <c r="BS355" t="s">
        <v>6090</v>
      </c>
      <c r="BT355" t="str">
        <f>HYPERLINK("https%3A%2F%2Fwww.webofscience.com%2Fwos%2Fwoscc%2Ffull-record%2FWOS:000261797800014","View Full Record in Web of Science")</f>
        <v>View Full Record in Web of Science</v>
      </c>
    </row>
    <row r="356" spans="1:72" x14ac:dyDescent="0.15">
      <c r="A356" t="s">
        <v>72</v>
      </c>
      <c r="B356" t="s">
        <v>6091</v>
      </c>
      <c r="C356" t="s">
        <v>74</v>
      </c>
      <c r="D356" t="s">
        <v>74</v>
      </c>
      <c r="E356" t="s">
        <v>74</v>
      </c>
      <c r="F356" t="s">
        <v>6092</v>
      </c>
      <c r="G356" t="s">
        <v>74</v>
      </c>
      <c r="H356" t="s">
        <v>74</v>
      </c>
      <c r="I356" t="s">
        <v>6093</v>
      </c>
      <c r="J356" t="s">
        <v>5961</v>
      </c>
      <c r="K356" t="s">
        <v>74</v>
      </c>
      <c r="L356" t="s">
        <v>74</v>
      </c>
      <c r="M356" t="s">
        <v>78</v>
      </c>
      <c r="N356" t="s">
        <v>79</v>
      </c>
      <c r="O356" t="s">
        <v>74</v>
      </c>
      <c r="P356" t="s">
        <v>74</v>
      </c>
      <c r="Q356" t="s">
        <v>74</v>
      </c>
      <c r="R356" t="s">
        <v>74</v>
      </c>
      <c r="S356" t="s">
        <v>74</v>
      </c>
      <c r="T356" t="s">
        <v>6094</v>
      </c>
      <c r="U356" t="s">
        <v>6095</v>
      </c>
      <c r="V356" t="s">
        <v>6096</v>
      </c>
      <c r="W356" t="s">
        <v>6097</v>
      </c>
      <c r="X356" t="s">
        <v>6098</v>
      </c>
      <c r="Y356" t="s">
        <v>6099</v>
      </c>
      <c r="Z356" t="s">
        <v>6100</v>
      </c>
      <c r="AA356" t="s">
        <v>6101</v>
      </c>
      <c r="AB356" t="s">
        <v>6102</v>
      </c>
      <c r="AC356" t="s">
        <v>6103</v>
      </c>
      <c r="AD356" t="s">
        <v>6104</v>
      </c>
      <c r="AE356" t="s">
        <v>6105</v>
      </c>
      <c r="AF356" t="s">
        <v>74</v>
      </c>
      <c r="AG356">
        <v>20</v>
      </c>
      <c r="AH356">
        <v>11</v>
      </c>
      <c r="AI356">
        <v>11</v>
      </c>
      <c r="AJ356">
        <v>0</v>
      </c>
      <c r="AK356">
        <v>2</v>
      </c>
      <c r="AL356" t="s">
        <v>167</v>
      </c>
      <c r="AM356" t="s">
        <v>168</v>
      </c>
      <c r="AN356" t="s">
        <v>169</v>
      </c>
      <c r="AO356" t="s">
        <v>5974</v>
      </c>
      <c r="AP356" t="s">
        <v>74</v>
      </c>
      <c r="AQ356" t="s">
        <v>74</v>
      </c>
      <c r="AR356" t="s">
        <v>5975</v>
      </c>
      <c r="AS356" t="s">
        <v>5976</v>
      </c>
      <c r="AT356" t="s">
        <v>74</v>
      </c>
      <c r="AU356">
        <v>2008</v>
      </c>
      <c r="AV356">
        <v>371</v>
      </c>
      <c r="AW356" t="s">
        <v>74</v>
      </c>
      <c r="AX356" t="s">
        <v>74</v>
      </c>
      <c r="AY356" t="s">
        <v>74</v>
      </c>
      <c r="AZ356" t="s">
        <v>74</v>
      </c>
      <c r="BA356" t="s">
        <v>74</v>
      </c>
      <c r="BB356">
        <v>297</v>
      </c>
      <c r="BC356">
        <v>300</v>
      </c>
      <c r="BD356" t="s">
        <v>74</v>
      </c>
      <c r="BE356" t="s">
        <v>6106</v>
      </c>
      <c r="BF356" t="str">
        <f>HYPERLINK("http://dx.doi.org/10.3354/meps07710","http://dx.doi.org/10.3354/meps07710")</f>
        <v>http://dx.doi.org/10.3354/meps07710</v>
      </c>
      <c r="BG356" t="s">
        <v>74</v>
      </c>
      <c r="BH356" t="s">
        <v>74</v>
      </c>
      <c r="BI356">
        <v>4</v>
      </c>
      <c r="BJ356" t="s">
        <v>5978</v>
      </c>
      <c r="BK356" t="s">
        <v>97</v>
      </c>
      <c r="BL356" t="s">
        <v>5979</v>
      </c>
      <c r="BM356" t="s">
        <v>6089</v>
      </c>
      <c r="BN356" t="s">
        <v>74</v>
      </c>
      <c r="BO356" t="s">
        <v>179</v>
      </c>
      <c r="BP356" t="s">
        <v>74</v>
      </c>
      <c r="BQ356" t="s">
        <v>74</v>
      </c>
      <c r="BR356" t="s">
        <v>100</v>
      </c>
      <c r="BS356" t="s">
        <v>6107</v>
      </c>
      <c r="BT356" t="str">
        <f>HYPERLINK("https%3A%2F%2Fwww.webofscience.com%2Fwos%2Fwoscc%2Ffull-record%2FWOS:000261797800028","View Full Record in Web of Science")</f>
        <v>View Full Record in Web of Science</v>
      </c>
    </row>
    <row r="357" spans="1:72" x14ac:dyDescent="0.15">
      <c r="A357" t="s">
        <v>72</v>
      </c>
      <c r="B357" t="s">
        <v>6108</v>
      </c>
      <c r="C357" t="s">
        <v>74</v>
      </c>
      <c r="D357" t="s">
        <v>74</v>
      </c>
      <c r="E357" t="s">
        <v>74</v>
      </c>
      <c r="F357" t="s">
        <v>6109</v>
      </c>
      <c r="G357" t="s">
        <v>74</v>
      </c>
      <c r="H357" t="s">
        <v>74</v>
      </c>
      <c r="I357" t="s">
        <v>6110</v>
      </c>
      <c r="J357" t="s">
        <v>5961</v>
      </c>
      <c r="K357" t="s">
        <v>74</v>
      </c>
      <c r="L357" t="s">
        <v>74</v>
      </c>
      <c r="M357" t="s">
        <v>78</v>
      </c>
      <c r="N357" t="s">
        <v>79</v>
      </c>
      <c r="O357" t="s">
        <v>74</v>
      </c>
      <c r="P357" t="s">
        <v>74</v>
      </c>
      <c r="Q357" t="s">
        <v>74</v>
      </c>
      <c r="R357" t="s">
        <v>74</v>
      </c>
      <c r="S357" t="s">
        <v>74</v>
      </c>
      <c r="T357" t="s">
        <v>6111</v>
      </c>
      <c r="U357" t="s">
        <v>6112</v>
      </c>
      <c r="V357" t="s">
        <v>6113</v>
      </c>
      <c r="W357" t="s">
        <v>6114</v>
      </c>
      <c r="X357" t="s">
        <v>6115</v>
      </c>
      <c r="Y357" t="s">
        <v>6116</v>
      </c>
      <c r="Z357" t="s">
        <v>6117</v>
      </c>
      <c r="AA357" t="s">
        <v>6118</v>
      </c>
      <c r="AB357" t="s">
        <v>6119</v>
      </c>
      <c r="AC357" t="s">
        <v>6120</v>
      </c>
      <c r="AD357" t="s">
        <v>6121</v>
      </c>
      <c r="AE357" t="s">
        <v>6122</v>
      </c>
      <c r="AF357" t="s">
        <v>74</v>
      </c>
      <c r="AG357">
        <v>67</v>
      </c>
      <c r="AH357">
        <v>22</v>
      </c>
      <c r="AI357">
        <v>23</v>
      </c>
      <c r="AJ357">
        <v>0</v>
      </c>
      <c r="AK357">
        <v>15</v>
      </c>
      <c r="AL357" t="s">
        <v>167</v>
      </c>
      <c r="AM357" t="s">
        <v>168</v>
      </c>
      <c r="AN357" t="s">
        <v>169</v>
      </c>
      <c r="AO357" t="s">
        <v>5974</v>
      </c>
      <c r="AP357" t="s">
        <v>74</v>
      </c>
      <c r="AQ357" t="s">
        <v>74</v>
      </c>
      <c r="AR357" t="s">
        <v>5975</v>
      </c>
      <c r="AS357" t="s">
        <v>5976</v>
      </c>
      <c r="AT357" t="s">
        <v>74</v>
      </c>
      <c r="AU357">
        <v>2008</v>
      </c>
      <c r="AV357">
        <v>370</v>
      </c>
      <c r="AW357" t="s">
        <v>74</v>
      </c>
      <c r="AX357" t="s">
        <v>74</v>
      </c>
      <c r="AY357" t="s">
        <v>74</v>
      </c>
      <c r="AZ357" t="s">
        <v>74</v>
      </c>
      <c r="BA357" t="s">
        <v>74</v>
      </c>
      <c r="BB357">
        <v>249</v>
      </c>
      <c r="BC357">
        <v>261</v>
      </c>
      <c r="BD357" t="s">
        <v>74</v>
      </c>
      <c r="BE357" t="s">
        <v>6123</v>
      </c>
      <c r="BF357" t="str">
        <f>HYPERLINK("http://dx.doi.org/10.3354/meps07613","http://dx.doi.org/10.3354/meps07613")</f>
        <v>http://dx.doi.org/10.3354/meps07613</v>
      </c>
      <c r="BG357" t="s">
        <v>74</v>
      </c>
      <c r="BH357" t="s">
        <v>74</v>
      </c>
      <c r="BI357">
        <v>13</v>
      </c>
      <c r="BJ357" t="s">
        <v>5978</v>
      </c>
      <c r="BK357" t="s">
        <v>97</v>
      </c>
      <c r="BL357" t="s">
        <v>5979</v>
      </c>
      <c r="BM357" t="s">
        <v>6124</v>
      </c>
      <c r="BN357" t="s">
        <v>74</v>
      </c>
      <c r="BO357" t="s">
        <v>6125</v>
      </c>
      <c r="BP357" t="s">
        <v>74</v>
      </c>
      <c r="BQ357" t="s">
        <v>74</v>
      </c>
      <c r="BR357" t="s">
        <v>100</v>
      </c>
      <c r="BS357" t="s">
        <v>6126</v>
      </c>
      <c r="BT357" t="str">
        <f>HYPERLINK("https%3A%2F%2Fwww.webofscience.com%2Fwos%2Fwoscc%2Ffull-record%2FWOS:000261229600020","View Full Record in Web of Science")</f>
        <v>View Full Record in Web of Science</v>
      </c>
    </row>
    <row r="358" spans="1:72" x14ac:dyDescent="0.15">
      <c r="A358" t="s">
        <v>72</v>
      </c>
      <c r="B358" t="s">
        <v>6127</v>
      </c>
      <c r="C358" t="s">
        <v>74</v>
      </c>
      <c r="D358" t="s">
        <v>74</v>
      </c>
      <c r="E358" t="s">
        <v>74</v>
      </c>
      <c r="F358" t="s">
        <v>6128</v>
      </c>
      <c r="G358" t="s">
        <v>74</v>
      </c>
      <c r="H358" t="s">
        <v>74</v>
      </c>
      <c r="I358" t="s">
        <v>6129</v>
      </c>
      <c r="J358" t="s">
        <v>5961</v>
      </c>
      <c r="K358" t="s">
        <v>74</v>
      </c>
      <c r="L358" t="s">
        <v>74</v>
      </c>
      <c r="M358" t="s">
        <v>78</v>
      </c>
      <c r="N358" t="s">
        <v>79</v>
      </c>
      <c r="O358" t="s">
        <v>74</v>
      </c>
      <c r="P358" t="s">
        <v>74</v>
      </c>
      <c r="Q358" t="s">
        <v>74</v>
      </c>
      <c r="R358" t="s">
        <v>74</v>
      </c>
      <c r="S358" t="s">
        <v>74</v>
      </c>
      <c r="T358" t="s">
        <v>6130</v>
      </c>
      <c r="U358" t="s">
        <v>6131</v>
      </c>
      <c r="V358" t="s">
        <v>6132</v>
      </c>
      <c r="W358" t="s">
        <v>6133</v>
      </c>
      <c r="X358" t="s">
        <v>6134</v>
      </c>
      <c r="Y358" t="s">
        <v>6135</v>
      </c>
      <c r="Z358" t="s">
        <v>6136</v>
      </c>
      <c r="AA358" t="s">
        <v>6137</v>
      </c>
      <c r="AB358" t="s">
        <v>6138</v>
      </c>
      <c r="AC358" t="s">
        <v>6139</v>
      </c>
      <c r="AD358" t="s">
        <v>6140</v>
      </c>
      <c r="AE358" t="s">
        <v>6141</v>
      </c>
      <c r="AF358" t="s">
        <v>74</v>
      </c>
      <c r="AG358">
        <v>55</v>
      </c>
      <c r="AH358">
        <v>51</v>
      </c>
      <c r="AI358">
        <v>54</v>
      </c>
      <c r="AJ358">
        <v>1</v>
      </c>
      <c r="AK358">
        <v>37</v>
      </c>
      <c r="AL358" t="s">
        <v>167</v>
      </c>
      <c r="AM358" t="s">
        <v>168</v>
      </c>
      <c r="AN358" t="s">
        <v>169</v>
      </c>
      <c r="AO358" t="s">
        <v>5974</v>
      </c>
      <c r="AP358" t="s">
        <v>5995</v>
      </c>
      <c r="AQ358" t="s">
        <v>74</v>
      </c>
      <c r="AR358" t="s">
        <v>5975</v>
      </c>
      <c r="AS358" t="s">
        <v>5976</v>
      </c>
      <c r="AT358" t="s">
        <v>74</v>
      </c>
      <c r="AU358">
        <v>2008</v>
      </c>
      <c r="AV358">
        <v>370</v>
      </c>
      <c r="AW358" t="s">
        <v>74</v>
      </c>
      <c r="AX358" t="s">
        <v>74</v>
      </c>
      <c r="AY358" t="s">
        <v>74</v>
      </c>
      <c r="AZ358" t="s">
        <v>74</v>
      </c>
      <c r="BA358" t="s">
        <v>74</v>
      </c>
      <c r="BB358">
        <v>271</v>
      </c>
      <c r="BC358">
        <v>284</v>
      </c>
      <c r="BD358" t="s">
        <v>74</v>
      </c>
      <c r="BE358" t="s">
        <v>6142</v>
      </c>
      <c r="BF358" t="str">
        <f>HYPERLINK("http://dx.doi.org/10.3354/meps07660","http://dx.doi.org/10.3354/meps07660")</f>
        <v>http://dx.doi.org/10.3354/meps07660</v>
      </c>
      <c r="BG358" t="s">
        <v>74</v>
      </c>
      <c r="BH358" t="s">
        <v>74</v>
      </c>
      <c r="BI358">
        <v>14</v>
      </c>
      <c r="BJ358" t="s">
        <v>5978</v>
      </c>
      <c r="BK358" t="s">
        <v>97</v>
      </c>
      <c r="BL358" t="s">
        <v>5979</v>
      </c>
      <c r="BM358" t="s">
        <v>6124</v>
      </c>
      <c r="BN358" t="s">
        <v>74</v>
      </c>
      <c r="BO358" t="s">
        <v>592</v>
      </c>
      <c r="BP358" t="s">
        <v>74</v>
      </c>
      <c r="BQ358" t="s">
        <v>74</v>
      </c>
      <c r="BR358" t="s">
        <v>100</v>
      </c>
      <c r="BS358" t="s">
        <v>6143</v>
      </c>
      <c r="BT358" t="str">
        <f>HYPERLINK("https%3A%2F%2Fwww.webofscience.com%2Fwos%2Fwoscc%2Ffull-record%2FWOS:000261229600022","View Full Record in Web of Science")</f>
        <v>View Full Record in Web of Science</v>
      </c>
    </row>
    <row r="359" spans="1:72" x14ac:dyDescent="0.15">
      <c r="A359" t="s">
        <v>72</v>
      </c>
      <c r="B359" t="s">
        <v>6144</v>
      </c>
      <c r="C359" t="s">
        <v>74</v>
      </c>
      <c r="D359" t="s">
        <v>74</v>
      </c>
      <c r="E359" t="s">
        <v>74</v>
      </c>
      <c r="F359" t="s">
        <v>6145</v>
      </c>
      <c r="G359" t="s">
        <v>74</v>
      </c>
      <c r="H359" t="s">
        <v>74</v>
      </c>
      <c r="I359" t="s">
        <v>6146</v>
      </c>
      <c r="J359" t="s">
        <v>5961</v>
      </c>
      <c r="K359" t="s">
        <v>74</v>
      </c>
      <c r="L359" t="s">
        <v>74</v>
      </c>
      <c r="M359" t="s">
        <v>78</v>
      </c>
      <c r="N359" t="s">
        <v>79</v>
      </c>
      <c r="O359" t="s">
        <v>74</v>
      </c>
      <c r="P359" t="s">
        <v>74</v>
      </c>
      <c r="Q359" t="s">
        <v>74</v>
      </c>
      <c r="R359" t="s">
        <v>74</v>
      </c>
      <c r="S359" t="s">
        <v>74</v>
      </c>
      <c r="T359" t="s">
        <v>6147</v>
      </c>
      <c r="U359" t="s">
        <v>6148</v>
      </c>
      <c r="V359" t="s">
        <v>6149</v>
      </c>
      <c r="W359" t="s">
        <v>6150</v>
      </c>
      <c r="X359" t="s">
        <v>6151</v>
      </c>
      <c r="Y359" t="s">
        <v>6152</v>
      </c>
      <c r="Z359" t="s">
        <v>6153</v>
      </c>
      <c r="AA359" t="s">
        <v>6154</v>
      </c>
      <c r="AB359" t="s">
        <v>6155</v>
      </c>
      <c r="AC359" t="s">
        <v>2597</v>
      </c>
      <c r="AD359" t="s">
        <v>242</v>
      </c>
      <c r="AE359" t="s">
        <v>74</v>
      </c>
      <c r="AF359" t="s">
        <v>74</v>
      </c>
      <c r="AG359">
        <v>33</v>
      </c>
      <c r="AH359">
        <v>47</v>
      </c>
      <c r="AI359">
        <v>50</v>
      </c>
      <c r="AJ359">
        <v>0</v>
      </c>
      <c r="AK359">
        <v>21</v>
      </c>
      <c r="AL359" t="s">
        <v>167</v>
      </c>
      <c r="AM359" t="s">
        <v>168</v>
      </c>
      <c r="AN359" t="s">
        <v>169</v>
      </c>
      <c r="AO359" t="s">
        <v>5974</v>
      </c>
      <c r="AP359" t="s">
        <v>5995</v>
      </c>
      <c r="AQ359" t="s">
        <v>74</v>
      </c>
      <c r="AR359" t="s">
        <v>5975</v>
      </c>
      <c r="AS359" t="s">
        <v>5976</v>
      </c>
      <c r="AT359" t="s">
        <v>74</v>
      </c>
      <c r="AU359">
        <v>2008</v>
      </c>
      <c r="AV359">
        <v>370</v>
      </c>
      <c r="AW359" t="s">
        <v>74</v>
      </c>
      <c r="AX359" t="s">
        <v>74</v>
      </c>
      <c r="AY359" t="s">
        <v>74</v>
      </c>
      <c r="AZ359" t="s">
        <v>74</v>
      </c>
      <c r="BA359" t="s">
        <v>74</v>
      </c>
      <c r="BB359">
        <v>285</v>
      </c>
      <c r="BC359">
        <v>294</v>
      </c>
      <c r="BD359" t="s">
        <v>74</v>
      </c>
      <c r="BE359" t="s">
        <v>6156</v>
      </c>
      <c r="BF359" t="str">
        <f>HYPERLINK("http://dx.doi.org/10.3354/meps07638","http://dx.doi.org/10.3354/meps07638")</f>
        <v>http://dx.doi.org/10.3354/meps07638</v>
      </c>
      <c r="BG359" t="s">
        <v>74</v>
      </c>
      <c r="BH359" t="s">
        <v>74</v>
      </c>
      <c r="BI359">
        <v>10</v>
      </c>
      <c r="BJ359" t="s">
        <v>5978</v>
      </c>
      <c r="BK359" t="s">
        <v>97</v>
      </c>
      <c r="BL359" t="s">
        <v>5979</v>
      </c>
      <c r="BM359" t="s">
        <v>6124</v>
      </c>
      <c r="BN359" t="s">
        <v>74</v>
      </c>
      <c r="BO359" t="s">
        <v>592</v>
      </c>
      <c r="BP359" t="s">
        <v>74</v>
      </c>
      <c r="BQ359" t="s">
        <v>74</v>
      </c>
      <c r="BR359" t="s">
        <v>100</v>
      </c>
      <c r="BS359" t="s">
        <v>6157</v>
      </c>
      <c r="BT359" t="str">
        <f>HYPERLINK("https%3A%2F%2Fwww.webofscience.com%2Fwos%2Fwoscc%2Ffull-record%2FWOS:000261229600023","View Full Record in Web of Science")</f>
        <v>View Full Record in Web of Science</v>
      </c>
    </row>
    <row r="360" spans="1:72" x14ac:dyDescent="0.15">
      <c r="A360" t="s">
        <v>72</v>
      </c>
      <c r="B360" t="s">
        <v>6158</v>
      </c>
      <c r="C360" t="s">
        <v>74</v>
      </c>
      <c r="D360" t="s">
        <v>74</v>
      </c>
      <c r="E360" t="s">
        <v>74</v>
      </c>
      <c r="F360" t="s">
        <v>6159</v>
      </c>
      <c r="G360" t="s">
        <v>74</v>
      </c>
      <c r="H360" t="s">
        <v>74</v>
      </c>
      <c r="I360" t="s">
        <v>6160</v>
      </c>
      <c r="J360" t="s">
        <v>5961</v>
      </c>
      <c r="K360" t="s">
        <v>74</v>
      </c>
      <c r="L360" t="s">
        <v>74</v>
      </c>
      <c r="M360" t="s">
        <v>78</v>
      </c>
      <c r="N360" t="s">
        <v>79</v>
      </c>
      <c r="O360" t="s">
        <v>74</v>
      </c>
      <c r="P360" t="s">
        <v>74</v>
      </c>
      <c r="Q360" t="s">
        <v>74</v>
      </c>
      <c r="R360" t="s">
        <v>74</v>
      </c>
      <c r="S360" t="s">
        <v>74</v>
      </c>
      <c r="T360" t="s">
        <v>6161</v>
      </c>
      <c r="U360" t="s">
        <v>6162</v>
      </c>
      <c r="V360" t="s">
        <v>6163</v>
      </c>
      <c r="W360" t="s">
        <v>4458</v>
      </c>
      <c r="X360" t="s">
        <v>440</v>
      </c>
      <c r="Y360" t="s">
        <v>6164</v>
      </c>
      <c r="Z360" t="s">
        <v>6165</v>
      </c>
      <c r="AA360" t="s">
        <v>74</v>
      </c>
      <c r="AB360" t="s">
        <v>74</v>
      </c>
      <c r="AC360" t="s">
        <v>6166</v>
      </c>
      <c r="AD360" t="s">
        <v>1817</v>
      </c>
      <c r="AE360" t="s">
        <v>74</v>
      </c>
      <c r="AF360" t="s">
        <v>74</v>
      </c>
      <c r="AG360">
        <v>60</v>
      </c>
      <c r="AH360">
        <v>24</v>
      </c>
      <c r="AI360">
        <v>27</v>
      </c>
      <c r="AJ360">
        <v>0</v>
      </c>
      <c r="AK360">
        <v>42</v>
      </c>
      <c r="AL360" t="s">
        <v>167</v>
      </c>
      <c r="AM360" t="s">
        <v>168</v>
      </c>
      <c r="AN360" t="s">
        <v>169</v>
      </c>
      <c r="AO360" t="s">
        <v>5974</v>
      </c>
      <c r="AP360" t="s">
        <v>5995</v>
      </c>
      <c r="AQ360" t="s">
        <v>74</v>
      </c>
      <c r="AR360" t="s">
        <v>5975</v>
      </c>
      <c r="AS360" t="s">
        <v>5976</v>
      </c>
      <c r="AT360" t="s">
        <v>74</v>
      </c>
      <c r="AU360">
        <v>2008</v>
      </c>
      <c r="AV360">
        <v>369</v>
      </c>
      <c r="AW360" t="s">
        <v>74</v>
      </c>
      <c r="AX360" t="s">
        <v>74</v>
      </c>
      <c r="AY360" t="s">
        <v>74</v>
      </c>
      <c r="AZ360" t="s">
        <v>74</v>
      </c>
      <c r="BA360" t="s">
        <v>74</v>
      </c>
      <c r="BB360">
        <v>25</v>
      </c>
      <c r="BC360">
        <v>37</v>
      </c>
      <c r="BD360" t="s">
        <v>74</v>
      </c>
      <c r="BE360" t="s">
        <v>6167</v>
      </c>
      <c r="BF360" t="str">
        <f>HYPERLINK("http://dx.doi.org/10.3354/meps07670","http://dx.doi.org/10.3354/meps07670")</f>
        <v>http://dx.doi.org/10.3354/meps07670</v>
      </c>
      <c r="BG360" t="s">
        <v>74</v>
      </c>
      <c r="BH360" t="s">
        <v>74</v>
      </c>
      <c r="BI360">
        <v>13</v>
      </c>
      <c r="BJ360" t="s">
        <v>5978</v>
      </c>
      <c r="BK360" t="s">
        <v>97</v>
      </c>
      <c r="BL360" t="s">
        <v>5979</v>
      </c>
      <c r="BM360" t="s">
        <v>6168</v>
      </c>
      <c r="BN360" t="s">
        <v>74</v>
      </c>
      <c r="BO360" t="s">
        <v>179</v>
      </c>
      <c r="BP360" t="s">
        <v>74</v>
      </c>
      <c r="BQ360" t="s">
        <v>74</v>
      </c>
      <c r="BR360" t="s">
        <v>100</v>
      </c>
      <c r="BS360" t="s">
        <v>6169</v>
      </c>
      <c r="BT360" t="str">
        <f>HYPERLINK("https%3A%2F%2Fwww.webofscience.com%2Fwos%2Fwoscc%2Ffull-record%2FWOS:000260873400003","View Full Record in Web of Science")</f>
        <v>View Full Record in Web of Science</v>
      </c>
    </row>
    <row r="361" spans="1:72" x14ac:dyDescent="0.15">
      <c r="A361" t="s">
        <v>72</v>
      </c>
      <c r="B361" t="s">
        <v>6170</v>
      </c>
      <c r="C361" t="s">
        <v>74</v>
      </c>
      <c r="D361" t="s">
        <v>74</v>
      </c>
      <c r="E361" t="s">
        <v>74</v>
      </c>
      <c r="F361" t="s">
        <v>6171</v>
      </c>
      <c r="G361" t="s">
        <v>74</v>
      </c>
      <c r="H361" t="s">
        <v>74</v>
      </c>
      <c r="I361" t="s">
        <v>6172</v>
      </c>
      <c r="J361" t="s">
        <v>5961</v>
      </c>
      <c r="K361" t="s">
        <v>74</v>
      </c>
      <c r="L361" t="s">
        <v>74</v>
      </c>
      <c r="M361" t="s">
        <v>78</v>
      </c>
      <c r="N361" t="s">
        <v>79</v>
      </c>
      <c r="O361" t="s">
        <v>74</v>
      </c>
      <c r="P361" t="s">
        <v>74</v>
      </c>
      <c r="Q361" t="s">
        <v>74</v>
      </c>
      <c r="R361" t="s">
        <v>74</v>
      </c>
      <c r="S361" t="s">
        <v>74</v>
      </c>
      <c r="T361" t="s">
        <v>6173</v>
      </c>
      <c r="U361" t="s">
        <v>6174</v>
      </c>
      <c r="V361" t="s">
        <v>6175</v>
      </c>
      <c r="W361" t="s">
        <v>6176</v>
      </c>
      <c r="X361" t="s">
        <v>6177</v>
      </c>
      <c r="Y361" t="s">
        <v>6178</v>
      </c>
      <c r="Z361" t="s">
        <v>6179</v>
      </c>
      <c r="AA361" t="s">
        <v>6180</v>
      </c>
      <c r="AB361" t="s">
        <v>6181</v>
      </c>
      <c r="AC361" t="s">
        <v>6182</v>
      </c>
      <c r="AD361" t="s">
        <v>6182</v>
      </c>
      <c r="AE361" t="s">
        <v>6183</v>
      </c>
      <c r="AF361" t="s">
        <v>74</v>
      </c>
      <c r="AG361">
        <v>34</v>
      </c>
      <c r="AH361">
        <v>34</v>
      </c>
      <c r="AI361">
        <v>35</v>
      </c>
      <c r="AJ361">
        <v>1</v>
      </c>
      <c r="AK361">
        <v>15</v>
      </c>
      <c r="AL361" t="s">
        <v>167</v>
      </c>
      <c r="AM361" t="s">
        <v>168</v>
      </c>
      <c r="AN361" t="s">
        <v>169</v>
      </c>
      <c r="AO361" t="s">
        <v>5974</v>
      </c>
      <c r="AP361" t="s">
        <v>5995</v>
      </c>
      <c r="AQ361" t="s">
        <v>74</v>
      </c>
      <c r="AR361" t="s">
        <v>5975</v>
      </c>
      <c r="AS361" t="s">
        <v>5976</v>
      </c>
      <c r="AT361" t="s">
        <v>74</v>
      </c>
      <c r="AU361">
        <v>2008</v>
      </c>
      <c r="AV361">
        <v>369</v>
      </c>
      <c r="AW361" t="s">
        <v>74</v>
      </c>
      <c r="AX361" t="s">
        <v>74</v>
      </c>
      <c r="AY361" t="s">
        <v>74</v>
      </c>
      <c r="AZ361" t="s">
        <v>74</v>
      </c>
      <c r="BA361" t="s">
        <v>74</v>
      </c>
      <c r="BB361">
        <v>257</v>
      </c>
      <c r="BC361">
        <v>266</v>
      </c>
      <c r="BD361" t="s">
        <v>74</v>
      </c>
      <c r="BE361" t="s">
        <v>6184</v>
      </c>
      <c r="BF361" t="str">
        <f>HYPERLINK("http://dx.doi.org/10.3354/meps07601","http://dx.doi.org/10.3354/meps07601")</f>
        <v>http://dx.doi.org/10.3354/meps07601</v>
      </c>
      <c r="BG361" t="s">
        <v>74</v>
      </c>
      <c r="BH361" t="s">
        <v>74</v>
      </c>
      <c r="BI361">
        <v>10</v>
      </c>
      <c r="BJ361" t="s">
        <v>5978</v>
      </c>
      <c r="BK361" t="s">
        <v>97</v>
      </c>
      <c r="BL361" t="s">
        <v>5979</v>
      </c>
      <c r="BM361" t="s">
        <v>6168</v>
      </c>
      <c r="BN361" t="s">
        <v>74</v>
      </c>
      <c r="BO361" t="s">
        <v>610</v>
      </c>
      <c r="BP361" t="s">
        <v>74</v>
      </c>
      <c r="BQ361" t="s">
        <v>74</v>
      </c>
      <c r="BR361" t="s">
        <v>100</v>
      </c>
      <c r="BS361" t="s">
        <v>6185</v>
      </c>
      <c r="BT361" t="str">
        <f>HYPERLINK("https%3A%2F%2Fwww.webofscience.com%2Fwos%2Fwoscc%2Ffull-record%2FWOS:000260873400020","View Full Record in Web of Science")</f>
        <v>View Full Record in Web of Science</v>
      </c>
    </row>
    <row r="362" spans="1:72" x14ac:dyDescent="0.15">
      <c r="A362" t="s">
        <v>72</v>
      </c>
      <c r="B362" t="s">
        <v>6186</v>
      </c>
      <c r="C362" t="s">
        <v>74</v>
      </c>
      <c r="D362" t="s">
        <v>74</v>
      </c>
      <c r="E362" t="s">
        <v>74</v>
      </c>
      <c r="F362" t="s">
        <v>6187</v>
      </c>
      <c r="G362" t="s">
        <v>74</v>
      </c>
      <c r="H362" t="s">
        <v>74</v>
      </c>
      <c r="I362" t="s">
        <v>6188</v>
      </c>
      <c r="J362" t="s">
        <v>5961</v>
      </c>
      <c r="K362" t="s">
        <v>74</v>
      </c>
      <c r="L362" t="s">
        <v>74</v>
      </c>
      <c r="M362" t="s">
        <v>78</v>
      </c>
      <c r="N362" t="s">
        <v>79</v>
      </c>
      <c r="O362" t="s">
        <v>74</v>
      </c>
      <c r="P362" t="s">
        <v>74</v>
      </c>
      <c r="Q362" t="s">
        <v>74</v>
      </c>
      <c r="R362" t="s">
        <v>74</v>
      </c>
      <c r="S362" t="s">
        <v>74</v>
      </c>
      <c r="T362" t="s">
        <v>6189</v>
      </c>
      <c r="U362" t="s">
        <v>6190</v>
      </c>
      <c r="V362" t="s">
        <v>6191</v>
      </c>
      <c r="W362" t="s">
        <v>6192</v>
      </c>
      <c r="X362" t="s">
        <v>2515</v>
      </c>
      <c r="Y362" t="s">
        <v>6193</v>
      </c>
      <c r="Z362" t="s">
        <v>6194</v>
      </c>
      <c r="AA362" t="s">
        <v>6195</v>
      </c>
      <c r="AB362" t="s">
        <v>6196</v>
      </c>
      <c r="AC362" t="s">
        <v>74</v>
      </c>
      <c r="AD362" t="s">
        <v>74</v>
      </c>
      <c r="AE362" t="s">
        <v>74</v>
      </c>
      <c r="AF362" t="s">
        <v>74</v>
      </c>
      <c r="AG362">
        <v>57</v>
      </c>
      <c r="AH362">
        <v>48</v>
      </c>
      <c r="AI362">
        <v>50</v>
      </c>
      <c r="AJ362">
        <v>5</v>
      </c>
      <c r="AK362">
        <v>47</v>
      </c>
      <c r="AL362" t="s">
        <v>167</v>
      </c>
      <c r="AM362" t="s">
        <v>168</v>
      </c>
      <c r="AN362" t="s">
        <v>169</v>
      </c>
      <c r="AO362" t="s">
        <v>5974</v>
      </c>
      <c r="AP362" t="s">
        <v>74</v>
      </c>
      <c r="AQ362" t="s">
        <v>74</v>
      </c>
      <c r="AR362" t="s">
        <v>5975</v>
      </c>
      <c r="AS362" t="s">
        <v>5976</v>
      </c>
      <c r="AT362" t="s">
        <v>74</v>
      </c>
      <c r="AU362">
        <v>2008</v>
      </c>
      <c r="AV362">
        <v>369</v>
      </c>
      <c r="AW362" t="s">
        <v>74</v>
      </c>
      <c r="AX362" t="s">
        <v>74</v>
      </c>
      <c r="AY362" t="s">
        <v>74</v>
      </c>
      <c r="AZ362" t="s">
        <v>74</v>
      </c>
      <c r="BA362" t="s">
        <v>74</v>
      </c>
      <c r="BB362">
        <v>297</v>
      </c>
      <c r="BC362">
        <v>309</v>
      </c>
      <c r="BD362" t="s">
        <v>74</v>
      </c>
      <c r="BE362" t="s">
        <v>6197</v>
      </c>
      <c r="BF362" t="str">
        <f>HYPERLINK("http://dx.doi.org/10.3354/meps07633","http://dx.doi.org/10.3354/meps07633")</f>
        <v>http://dx.doi.org/10.3354/meps07633</v>
      </c>
      <c r="BG362" t="s">
        <v>74</v>
      </c>
      <c r="BH362" t="s">
        <v>74</v>
      </c>
      <c r="BI362">
        <v>13</v>
      </c>
      <c r="BJ362" t="s">
        <v>5978</v>
      </c>
      <c r="BK362" t="s">
        <v>97</v>
      </c>
      <c r="BL362" t="s">
        <v>5979</v>
      </c>
      <c r="BM362" t="s">
        <v>6168</v>
      </c>
      <c r="BN362" t="s">
        <v>74</v>
      </c>
      <c r="BO362" t="s">
        <v>179</v>
      </c>
      <c r="BP362" t="s">
        <v>74</v>
      </c>
      <c r="BQ362" t="s">
        <v>74</v>
      </c>
      <c r="BR362" t="s">
        <v>100</v>
      </c>
      <c r="BS362" t="s">
        <v>6198</v>
      </c>
      <c r="BT362" t="str">
        <f>HYPERLINK("https%3A%2F%2Fwww.webofscience.com%2Fwos%2Fwoscc%2Ffull-record%2FWOS:000260873400024","View Full Record in Web of Science")</f>
        <v>View Full Record in Web of Science</v>
      </c>
    </row>
    <row r="363" spans="1:72" x14ac:dyDescent="0.15">
      <c r="A363" t="s">
        <v>72</v>
      </c>
      <c r="B363" t="s">
        <v>6199</v>
      </c>
      <c r="C363" t="s">
        <v>74</v>
      </c>
      <c r="D363" t="s">
        <v>74</v>
      </c>
      <c r="E363" t="s">
        <v>74</v>
      </c>
      <c r="F363" t="s">
        <v>6200</v>
      </c>
      <c r="G363" t="s">
        <v>74</v>
      </c>
      <c r="H363" t="s">
        <v>74</v>
      </c>
      <c r="I363" t="s">
        <v>6201</v>
      </c>
      <c r="J363" t="s">
        <v>5961</v>
      </c>
      <c r="K363" t="s">
        <v>74</v>
      </c>
      <c r="L363" t="s">
        <v>74</v>
      </c>
      <c r="M363" t="s">
        <v>78</v>
      </c>
      <c r="N363" t="s">
        <v>79</v>
      </c>
      <c r="O363" t="s">
        <v>74</v>
      </c>
      <c r="P363" t="s">
        <v>74</v>
      </c>
      <c r="Q363" t="s">
        <v>74</v>
      </c>
      <c r="R363" t="s">
        <v>74</v>
      </c>
      <c r="S363" t="s">
        <v>74</v>
      </c>
      <c r="T363" t="s">
        <v>6202</v>
      </c>
      <c r="U363" t="s">
        <v>6203</v>
      </c>
      <c r="V363" t="s">
        <v>6204</v>
      </c>
      <c r="W363" t="s">
        <v>6205</v>
      </c>
      <c r="X363" t="s">
        <v>440</v>
      </c>
      <c r="Y363" t="s">
        <v>6206</v>
      </c>
      <c r="Z363" t="s">
        <v>6207</v>
      </c>
      <c r="AA363" t="s">
        <v>6208</v>
      </c>
      <c r="AB363" t="s">
        <v>6209</v>
      </c>
      <c r="AC363" t="s">
        <v>2597</v>
      </c>
      <c r="AD363" t="s">
        <v>242</v>
      </c>
      <c r="AE363" t="s">
        <v>74</v>
      </c>
      <c r="AF363" t="s">
        <v>74</v>
      </c>
      <c r="AG363">
        <v>68</v>
      </c>
      <c r="AH363">
        <v>64</v>
      </c>
      <c r="AI363">
        <v>66</v>
      </c>
      <c r="AJ363">
        <v>1</v>
      </c>
      <c r="AK363">
        <v>16</v>
      </c>
      <c r="AL363" t="s">
        <v>167</v>
      </c>
      <c r="AM363" t="s">
        <v>168</v>
      </c>
      <c r="AN363" t="s">
        <v>169</v>
      </c>
      <c r="AO363" t="s">
        <v>5974</v>
      </c>
      <c r="AP363" t="s">
        <v>5995</v>
      </c>
      <c r="AQ363" t="s">
        <v>74</v>
      </c>
      <c r="AR363" t="s">
        <v>5975</v>
      </c>
      <c r="AS363" t="s">
        <v>5976</v>
      </c>
      <c r="AT363" t="s">
        <v>74</v>
      </c>
      <c r="AU363">
        <v>2008</v>
      </c>
      <c r="AV363">
        <v>368</v>
      </c>
      <c r="AW363" t="s">
        <v>74</v>
      </c>
      <c r="AX363" t="s">
        <v>74</v>
      </c>
      <c r="AY363" t="s">
        <v>74</v>
      </c>
      <c r="AZ363" t="s">
        <v>74</v>
      </c>
      <c r="BA363" t="s">
        <v>74</v>
      </c>
      <c r="BB363">
        <v>75</v>
      </c>
      <c r="BC363">
        <v>91</v>
      </c>
      <c r="BD363" t="s">
        <v>74</v>
      </c>
      <c r="BE363" t="s">
        <v>6210</v>
      </c>
      <c r="BF363" t="str">
        <f>HYPERLINK("http://dx.doi.org/10.3354/meps07525","http://dx.doi.org/10.3354/meps07525")</f>
        <v>http://dx.doi.org/10.3354/meps07525</v>
      </c>
      <c r="BG363" t="s">
        <v>74</v>
      </c>
      <c r="BH363" t="s">
        <v>74</v>
      </c>
      <c r="BI363">
        <v>17</v>
      </c>
      <c r="BJ363" t="s">
        <v>5978</v>
      </c>
      <c r="BK363" t="s">
        <v>97</v>
      </c>
      <c r="BL363" t="s">
        <v>5979</v>
      </c>
      <c r="BM363" t="s">
        <v>6211</v>
      </c>
      <c r="BN363" t="s">
        <v>74</v>
      </c>
      <c r="BO363" t="s">
        <v>179</v>
      </c>
      <c r="BP363" t="s">
        <v>74</v>
      </c>
      <c r="BQ363" t="s">
        <v>74</v>
      </c>
      <c r="BR363" t="s">
        <v>100</v>
      </c>
      <c r="BS363" t="s">
        <v>6212</v>
      </c>
      <c r="BT363" t="str">
        <f>HYPERLINK("https%3A%2F%2Fwww.webofscience.com%2Fwos%2Fwoscc%2Ffull-record%2FWOS:000260511800007","View Full Record in Web of Science")</f>
        <v>View Full Record in Web of Science</v>
      </c>
    </row>
    <row r="364" spans="1:72" x14ac:dyDescent="0.15">
      <c r="A364" t="s">
        <v>72</v>
      </c>
      <c r="B364" t="s">
        <v>6213</v>
      </c>
      <c r="C364" t="s">
        <v>74</v>
      </c>
      <c r="D364" t="s">
        <v>74</v>
      </c>
      <c r="E364" t="s">
        <v>74</v>
      </c>
      <c r="F364" t="s">
        <v>6214</v>
      </c>
      <c r="G364" t="s">
        <v>74</v>
      </c>
      <c r="H364" t="s">
        <v>74</v>
      </c>
      <c r="I364" t="s">
        <v>6215</v>
      </c>
      <c r="J364" t="s">
        <v>5961</v>
      </c>
      <c r="K364" t="s">
        <v>74</v>
      </c>
      <c r="L364" t="s">
        <v>74</v>
      </c>
      <c r="M364" t="s">
        <v>78</v>
      </c>
      <c r="N364" t="s">
        <v>79</v>
      </c>
      <c r="O364" t="s">
        <v>74</v>
      </c>
      <c r="P364" t="s">
        <v>74</v>
      </c>
      <c r="Q364" t="s">
        <v>74</v>
      </c>
      <c r="R364" t="s">
        <v>74</v>
      </c>
      <c r="S364" t="s">
        <v>74</v>
      </c>
      <c r="T364" t="s">
        <v>6216</v>
      </c>
      <c r="U364" t="s">
        <v>6217</v>
      </c>
      <c r="V364" t="s">
        <v>6218</v>
      </c>
      <c r="W364" t="s">
        <v>6219</v>
      </c>
      <c r="X364" t="s">
        <v>6220</v>
      </c>
      <c r="Y364" t="s">
        <v>3856</v>
      </c>
      <c r="Z364" t="s">
        <v>6221</v>
      </c>
      <c r="AA364" t="s">
        <v>6222</v>
      </c>
      <c r="AB364" t="s">
        <v>6223</v>
      </c>
      <c r="AC364" t="s">
        <v>6224</v>
      </c>
      <c r="AD364" t="s">
        <v>6225</v>
      </c>
      <c r="AE364" t="s">
        <v>6226</v>
      </c>
      <c r="AF364" t="s">
        <v>74</v>
      </c>
      <c r="AG364">
        <v>68</v>
      </c>
      <c r="AH364">
        <v>36</v>
      </c>
      <c r="AI364">
        <v>37</v>
      </c>
      <c r="AJ364">
        <v>6</v>
      </c>
      <c r="AK364">
        <v>45</v>
      </c>
      <c r="AL364" t="s">
        <v>167</v>
      </c>
      <c r="AM364" t="s">
        <v>168</v>
      </c>
      <c r="AN364" t="s">
        <v>169</v>
      </c>
      <c r="AO364" t="s">
        <v>5974</v>
      </c>
      <c r="AP364" t="s">
        <v>5995</v>
      </c>
      <c r="AQ364" t="s">
        <v>74</v>
      </c>
      <c r="AR364" t="s">
        <v>5975</v>
      </c>
      <c r="AS364" t="s">
        <v>5976</v>
      </c>
      <c r="AT364" t="s">
        <v>74</v>
      </c>
      <c r="AU364">
        <v>2008</v>
      </c>
      <c r="AV364">
        <v>367</v>
      </c>
      <c r="AW364" t="s">
        <v>74</v>
      </c>
      <c r="AX364" t="s">
        <v>74</v>
      </c>
      <c r="AY364" t="s">
        <v>74</v>
      </c>
      <c r="AZ364" t="s">
        <v>74</v>
      </c>
      <c r="BA364" t="s">
        <v>74</v>
      </c>
      <c r="BB364">
        <v>271</v>
      </c>
      <c r="BC364">
        <v>282</v>
      </c>
      <c r="BD364" t="s">
        <v>74</v>
      </c>
      <c r="BE364" t="s">
        <v>6227</v>
      </c>
      <c r="BF364" t="str">
        <f>HYPERLINK("http://dx.doi.org/10.3354/meps07530","http://dx.doi.org/10.3354/meps07530")</f>
        <v>http://dx.doi.org/10.3354/meps07530</v>
      </c>
      <c r="BG364" t="s">
        <v>74</v>
      </c>
      <c r="BH364" t="s">
        <v>74</v>
      </c>
      <c r="BI364">
        <v>12</v>
      </c>
      <c r="BJ364" t="s">
        <v>5978</v>
      </c>
      <c r="BK364" t="s">
        <v>97</v>
      </c>
      <c r="BL364" t="s">
        <v>5979</v>
      </c>
      <c r="BM364" t="s">
        <v>6228</v>
      </c>
      <c r="BN364" t="s">
        <v>74</v>
      </c>
      <c r="BO364" t="s">
        <v>1838</v>
      </c>
      <c r="BP364" t="s">
        <v>74</v>
      </c>
      <c r="BQ364" t="s">
        <v>74</v>
      </c>
      <c r="BR364" t="s">
        <v>100</v>
      </c>
      <c r="BS364" t="s">
        <v>6229</v>
      </c>
      <c r="BT364" t="str">
        <f>HYPERLINK("https%3A%2F%2Fwww.webofscience.com%2Fwos%2Fwoscc%2Ffull-record%2FWOS:000260017900025","View Full Record in Web of Science")</f>
        <v>View Full Record in Web of Science</v>
      </c>
    </row>
    <row r="365" spans="1:72" x14ac:dyDescent="0.15">
      <c r="A365" t="s">
        <v>72</v>
      </c>
      <c r="B365" t="s">
        <v>6230</v>
      </c>
      <c r="C365" t="s">
        <v>74</v>
      </c>
      <c r="D365" t="s">
        <v>74</v>
      </c>
      <c r="E365" t="s">
        <v>74</v>
      </c>
      <c r="F365" t="s">
        <v>6231</v>
      </c>
      <c r="G365" t="s">
        <v>74</v>
      </c>
      <c r="H365" t="s">
        <v>74</v>
      </c>
      <c r="I365" t="s">
        <v>6232</v>
      </c>
      <c r="J365" t="s">
        <v>5961</v>
      </c>
      <c r="K365" t="s">
        <v>74</v>
      </c>
      <c r="L365" t="s">
        <v>74</v>
      </c>
      <c r="M365" t="s">
        <v>78</v>
      </c>
      <c r="N365" t="s">
        <v>79</v>
      </c>
      <c r="O365" t="s">
        <v>74</v>
      </c>
      <c r="P365" t="s">
        <v>74</v>
      </c>
      <c r="Q365" t="s">
        <v>74</v>
      </c>
      <c r="R365" t="s">
        <v>74</v>
      </c>
      <c r="S365" t="s">
        <v>74</v>
      </c>
      <c r="T365" t="s">
        <v>6233</v>
      </c>
      <c r="U365" t="s">
        <v>6234</v>
      </c>
      <c r="V365" t="s">
        <v>6235</v>
      </c>
      <c r="W365" t="s">
        <v>6236</v>
      </c>
      <c r="X365" t="s">
        <v>6237</v>
      </c>
      <c r="Y365" t="s">
        <v>6238</v>
      </c>
      <c r="Z365" t="s">
        <v>6239</v>
      </c>
      <c r="AA365" t="s">
        <v>74</v>
      </c>
      <c r="AB365" t="s">
        <v>6240</v>
      </c>
      <c r="AC365" t="s">
        <v>6241</v>
      </c>
      <c r="AD365" t="s">
        <v>6242</v>
      </c>
      <c r="AE365" t="s">
        <v>6243</v>
      </c>
      <c r="AF365" t="s">
        <v>74</v>
      </c>
      <c r="AG365">
        <v>48</v>
      </c>
      <c r="AH365">
        <v>52</v>
      </c>
      <c r="AI365">
        <v>54</v>
      </c>
      <c r="AJ365">
        <v>2</v>
      </c>
      <c r="AK365">
        <v>10</v>
      </c>
      <c r="AL365" t="s">
        <v>167</v>
      </c>
      <c r="AM365" t="s">
        <v>168</v>
      </c>
      <c r="AN365" t="s">
        <v>169</v>
      </c>
      <c r="AO365" t="s">
        <v>5974</v>
      </c>
      <c r="AP365" t="s">
        <v>5995</v>
      </c>
      <c r="AQ365" t="s">
        <v>74</v>
      </c>
      <c r="AR365" t="s">
        <v>5975</v>
      </c>
      <c r="AS365" t="s">
        <v>5976</v>
      </c>
      <c r="AT365" t="s">
        <v>74</v>
      </c>
      <c r="AU365">
        <v>2008</v>
      </c>
      <c r="AV365">
        <v>366</v>
      </c>
      <c r="AW365" t="s">
        <v>74</v>
      </c>
      <c r="AX365" t="s">
        <v>74</v>
      </c>
      <c r="AY365" t="s">
        <v>74</v>
      </c>
      <c r="AZ365" t="s">
        <v>74</v>
      </c>
      <c r="BA365" t="s">
        <v>74</v>
      </c>
      <c r="BB365">
        <v>15</v>
      </c>
      <c r="BC365">
        <v>29</v>
      </c>
      <c r="BD365" t="s">
        <v>74</v>
      </c>
      <c r="BE365" t="s">
        <v>6244</v>
      </c>
      <c r="BF365" t="str">
        <f>HYPERLINK("http://dx.doi.org/10.3354/meps07515","http://dx.doi.org/10.3354/meps07515")</f>
        <v>http://dx.doi.org/10.3354/meps07515</v>
      </c>
      <c r="BG365" t="s">
        <v>74</v>
      </c>
      <c r="BH365" t="s">
        <v>74</v>
      </c>
      <c r="BI365">
        <v>15</v>
      </c>
      <c r="BJ365" t="s">
        <v>5978</v>
      </c>
      <c r="BK365" t="s">
        <v>97</v>
      </c>
      <c r="BL365" t="s">
        <v>5979</v>
      </c>
      <c r="BM365" t="s">
        <v>6245</v>
      </c>
      <c r="BN365" t="s">
        <v>74</v>
      </c>
      <c r="BO365" t="s">
        <v>179</v>
      </c>
      <c r="BP365" t="s">
        <v>74</v>
      </c>
      <c r="BQ365" t="s">
        <v>74</v>
      </c>
      <c r="BR365" t="s">
        <v>100</v>
      </c>
      <c r="BS365" t="s">
        <v>6246</v>
      </c>
      <c r="BT365" t="str">
        <f>HYPERLINK("https%3A%2F%2Fwww.webofscience.com%2Fwos%2Fwoscc%2Ffull-record%2FWOS:000259768800002","View Full Record in Web of Science")</f>
        <v>View Full Record in Web of Science</v>
      </c>
    </row>
    <row r="366" spans="1:72" x14ac:dyDescent="0.15">
      <c r="A366" t="s">
        <v>72</v>
      </c>
      <c r="B366" t="s">
        <v>6247</v>
      </c>
      <c r="C366" t="s">
        <v>74</v>
      </c>
      <c r="D366" t="s">
        <v>74</v>
      </c>
      <c r="E366" t="s">
        <v>74</v>
      </c>
      <c r="F366" t="s">
        <v>6248</v>
      </c>
      <c r="G366" t="s">
        <v>74</v>
      </c>
      <c r="H366" t="s">
        <v>74</v>
      </c>
      <c r="I366" t="s">
        <v>6249</v>
      </c>
      <c r="J366" t="s">
        <v>5961</v>
      </c>
      <c r="K366" t="s">
        <v>74</v>
      </c>
      <c r="L366" t="s">
        <v>74</v>
      </c>
      <c r="M366" t="s">
        <v>78</v>
      </c>
      <c r="N366" t="s">
        <v>79</v>
      </c>
      <c r="O366" t="s">
        <v>74</v>
      </c>
      <c r="P366" t="s">
        <v>74</v>
      </c>
      <c r="Q366" t="s">
        <v>74</v>
      </c>
      <c r="R366" t="s">
        <v>74</v>
      </c>
      <c r="S366" t="s">
        <v>74</v>
      </c>
      <c r="T366" t="s">
        <v>6250</v>
      </c>
      <c r="U366" t="s">
        <v>6251</v>
      </c>
      <c r="V366" t="s">
        <v>6252</v>
      </c>
      <c r="W366" t="s">
        <v>6253</v>
      </c>
      <c r="X366" t="s">
        <v>6254</v>
      </c>
      <c r="Y366" t="s">
        <v>6255</v>
      </c>
      <c r="Z366" t="s">
        <v>6256</v>
      </c>
      <c r="AA366" t="s">
        <v>74</v>
      </c>
      <c r="AB366" t="s">
        <v>6257</v>
      </c>
      <c r="AC366" t="s">
        <v>6258</v>
      </c>
      <c r="AD366" t="s">
        <v>6259</v>
      </c>
      <c r="AE366" t="s">
        <v>6260</v>
      </c>
      <c r="AF366" t="s">
        <v>74</v>
      </c>
      <c r="AG366">
        <v>36</v>
      </c>
      <c r="AH366">
        <v>17</v>
      </c>
      <c r="AI366">
        <v>23</v>
      </c>
      <c r="AJ366">
        <v>0</v>
      </c>
      <c r="AK366">
        <v>9</v>
      </c>
      <c r="AL366" t="s">
        <v>167</v>
      </c>
      <c r="AM366" t="s">
        <v>168</v>
      </c>
      <c r="AN366" t="s">
        <v>169</v>
      </c>
      <c r="AO366" t="s">
        <v>5974</v>
      </c>
      <c r="AP366" t="s">
        <v>5995</v>
      </c>
      <c r="AQ366" t="s">
        <v>74</v>
      </c>
      <c r="AR366" t="s">
        <v>5975</v>
      </c>
      <c r="AS366" t="s">
        <v>5976</v>
      </c>
      <c r="AT366" t="s">
        <v>74</v>
      </c>
      <c r="AU366">
        <v>2008</v>
      </c>
      <c r="AV366">
        <v>366</v>
      </c>
      <c r="AW366" t="s">
        <v>74</v>
      </c>
      <c r="AX366" t="s">
        <v>74</v>
      </c>
      <c r="AY366" t="s">
        <v>74</v>
      </c>
      <c r="AZ366" t="s">
        <v>74</v>
      </c>
      <c r="BA366" t="s">
        <v>74</v>
      </c>
      <c r="BB366">
        <v>99</v>
      </c>
      <c r="BC366">
        <v>110</v>
      </c>
      <c r="BD366" t="s">
        <v>74</v>
      </c>
      <c r="BE366" t="s">
        <v>6261</v>
      </c>
      <c r="BF366" t="str">
        <f>HYPERLINK("http://dx.doi.org/10.3354/meps07533","http://dx.doi.org/10.3354/meps07533")</f>
        <v>http://dx.doi.org/10.3354/meps07533</v>
      </c>
      <c r="BG366" t="s">
        <v>74</v>
      </c>
      <c r="BH366" t="s">
        <v>74</v>
      </c>
      <c r="BI366">
        <v>12</v>
      </c>
      <c r="BJ366" t="s">
        <v>5978</v>
      </c>
      <c r="BK366" t="s">
        <v>97</v>
      </c>
      <c r="BL366" t="s">
        <v>5979</v>
      </c>
      <c r="BM366" t="s">
        <v>6245</v>
      </c>
      <c r="BN366" t="s">
        <v>74</v>
      </c>
      <c r="BO366" t="s">
        <v>179</v>
      </c>
      <c r="BP366" t="s">
        <v>74</v>
      </c>
      <c r="BQ366" t="s">
        <v>74</v>
      </c>
      <c r="BR366" t="s">
        <v>100</v>
      </c>
      <c r="BS366" t="s">
        <v>6262</v>
      </c>
      <c r="BT366" t="str">
        <f>HYPERLINK("https%3A%2F%2Fwww.webofscience.com%2Fwos%2Fwoscc%2Ffull-record%2FWOS:000259768800009","View Full Record in Web of Science")</f>
        <v>View Full Record in Web of Science</v>
      </c>
    </row>
    <row r="367" spans="1:72" x14ac:dyDescent="0.15">
      <c r="A367" t="s">
        <v>72</v>
      </c>
      <c r="B367" t="s">
        <v>6263</v>
      </c>
      <c r="C367" t="s">
        <v>74</v>
      </c>
      <c r="D367" t="s">
        <v>74</v>
      </c>
      <c r="E367" t="s">
        <v>74</v>
      </c>
      <c r="F367" t="s">
        <v>6264</v>
      </c>
      <c r="G367" t="s">
        <v>74</v>
      </c>
      <c r="H367" t="s">
        <v>74</v>
      </c>
      <c r="I367" t="s">
        <v>6265</v>
      </c>
      <c r="J367" t="s">
        <v>5961</v>
      </c>
      <c r="K367" t="s">
        <v>74</v>
      </c>
      <c r="L367" t="s">
        <v>74</v>
      </c>
      <c r="M367" t="s">
        <v>78</v>
      </c>
      <c r="N367" t="s">
        <v>79</v>
      </c>
      <c r="O367" t="s">
        <v>74</v>
      </c>
      <c r="P367" t="s">
        <v>74</v>
      </c>
      <c r="Q367" t="s">
        <v>74</v>
      </c>
      <c r="R367" t="s">
        <v>74</v>
      </c>
      <c r="S367" t="s">
        <v>74</v>
      </c>
      <c r="T367" t="s">
        <v>6266</v>
      </c>
      <c r="U367" t="s">
        <v>6267</v>
      </c>
      <c r="V367" t="s">
        <v>6268</v>
      </c>
      <c r="W367" t="s">
        <v>6269</v>
      </c>
      <c r="X367" t="s">
        <v>6270</v>
      </c>
      <c r="Y367" t="s">
        <v>6271</v>
      </c>
      <c r="Z367" t="s">
        <v>6272</v>
      </c>
      <c r="AA367" t="s">
        <v>6195</v>
      </c>
      <c r="AB367" t="s">
        <v>6273</v>
      </c>
      <c r="AC367" t="s">
        <v>74</v>
      </c>
      <c r="AD367" t="s">
        <v>74</v>
      </c>
      <c r="AE367" t="s">
        <v>74</v>
      </c>
      <c r="AF367" t="s">
        <v>74</v>
      </c>
      <c r="AG367">
        <v>41</v>
      </c>
      <c r="AH367">
        <v>13</v>
      </c>
      <c r="AI367">
        <v>18</v>
      </c>
      <c r="AJ367">
        <v>1</v>
      </c>
      <c r="AK367">
        <v>21</v>
      </c>
      <c r="AL367" t="s">
        <v>167</v>
      </c>
      <c r="AM367" t="s">
        <v>168</v>
      </c>
      <c r="AN367" t="s">
        <v>169</v>
      </c>
      <c r="AO367" t="s">
        <v>5974</v>
      </c>
      <c r="AP367" t="s">
        <v>5995</v>
      </c>
      <c r="AQ367" t="s">
        <v>74</v>
      </c>
      <c r="AR367" t="s">
        <v>5975</v>
      </c>
      <c r="AS367" t="s">
        <v>5976</v>
      </c>
      <c r="AT367" t="s">
        <v>74</v>
      </c>
      <c r="AU367">
        <v>2008</v>
      </c>
      <c r="AV367">
        <v>366</v>
      </c>
      <c r="AW367" t="s">
        <v>74</v>
      </c>
      <c r="AX367" t="s">
        <v>74</v>
      </c>
      <c r="AY367" t="s">
        <v>74</v>
      </c>
      <c r="AZ367" t="s">
        <v>74</v>
      </c>
      <c r="BA367" t="s">
        <v>74</v>
      </c>
      <c r="BB367">
        <v>259</v>
      </c>
      <c r="BC367">
        <v>270</v>
      </c>
      <c r="BD367" t="s">
        <v>74</v>
      </c>
      <c r="BE367" t="s">
        <v>6274</v>
      </c>
      <c r="BF367" t="str">
        <f>HYPERLINK("http://dx.doi.org/10.3354/meps07502","http://dx.doi.org/10.3354/meps07502")</f>
        <v>http://dx.doi.org/10.3354/meps07502</v>
      </c>
      <c r="BG367" t="s">
        <v>74</v>
      </c>
      <c r="BH367" t="s">
        <v>74</v>
      </c>
      <c r="BI367">
        <v>12</v>
      </c>
      <c r="BJ367" t="s">
        <v>5978</v>
      </c>
      <c r="BK367" t="s">
        <v>97</v>
      </c>
      <c r="BL367" t="s">
        <v>5979</v>
      </c>
      <c r="BM367" t="s">
        <v>6245</v>
      </c>
      <c r="BN367" t="s">
        <v>74</v>
      </c>
      <c r="BO367" t="s">
        <v>179</v>
      </c>
      <c r="BP367" t="s">
        <v>74</v>
      </c>
      <c r="BQ367" t="s">
        <v>74</v>
      </c>
      <c r="BR367" t="s">
        <v>100</v>
      </c>
      <c r="BS367" t="s">
        <v>6275</v>
      </c>
      <c r="BT367" t="str">
        <f>HYPERLINK("https%3A%2F%2Fwww.webofscience.com%2Fwos%2Fwoscc%2Ffull-record%2FWOS:000259768800023","View Full Record in Web of Science")</f>
        <v>View Full Record in Web of Science</v>
      </c>
    </row>
    <row r="368" spans="1:72" x14ac:dyDescent="0.15">
      <c r="A368" t="s">
        <v>72</v>
      </c>
      <c r="B368" t="s">
        <v>6276</v>
      </c>
      <c r="C368" t="s">
        <v>74</v>
      </c>
      <c r="D368" t="s">
        <v>74</v>
      </c>
      <c r="E368" t="s">
        <v>74</v>
      </c>
      <c r="F368" t="s">
        <v>6277</v>
      </c>
      <c r="G368" t="s">
        <v>74</v>
      </c>
      <c r="H368" t="s">
        <v>74</v>
      </c>
      <c r="I368" t="s">
        <v>6278</v>
      </c>
      <c r="J368" t="s">
        <v>5961</v>
      </c>
      <c r="K368" t="s">
        <v>74</v>
      </c>
      <c r="L368" t="s">
        <v>74</v>
      </c>
      <c r="M368" t="s">
        <v>78</v>
      </c>
      <c r="N368" t="s">
        <v>79</v>
      </c>
      <c r="O368" t="s">
        <v>74</v>
      </c>
      <c r="P368" t="s">
        <v>74</v>
      </c>
      <c r="Q368" t="s">
        <v>74</v>
      </c>
      <c r="R368" t="s">
        <v>74</v>
      </c>
      <c r="S368" t="s">
        <v>74</v>
      </c>
      <c r="T368" t="s">
        <v>6279</v>
      </c>
      <c r="U368" t="s">
        <v>6280</v>
      </c>
      <c r="V368" t="s">
        <v>6281</v>
      </c>
      <c r="W368" t="s">
        <v>6282</v>
      </c>
      <c r="X368" t="s">
        <v>6283</v>
      </c>
      <c r="Y368" t="s">
        <v>6284</v>
      </c>
      <c r="Z368" t="s">
        <v>6285</v>
      </c>
      <c r="AA368" t="s">
        <v>6286</v>
      </c>
      <c r="AB368" t="s">
        <v>6287</v>
      </c>
      <c r="AC368" t="s">
        <v>6288</v>
      </c>
      <c r="AD368" t="s">
        <v>6288</v>
      </c>
      <c r="AE368" t="s">
        <v>6289</v>
      </c>
      <c r="AF368" t="s">
        <v>74</v>
      </c>
      <c r="AG368">
        <v>47</v>
      </c>
      <c r="AH368">
        <v>20</v>
      </c>
      <c r="AI368">
        <v>24</v>
      </c>
      <c r="AJ368">
        <v>0</v>
      </c>
      <c r="AK368">
        <v>8</v>
      </c>
      <c r="AL368" t="s">
        <v>167</v>
      </c>
      <c r="AM368" t="s">
        <v>168</v>
      </c>
      <c r="AN368" t="s">
        <v>169</v>
      </c>
      <c r="AO368" t="s">
        <v>5974</v>
      </c>
      <c r="AP368" t="s">
        <v>5995</v>
      </c>
      <c r="AQ368" t="s">
        <v>74</v>
      </c>
      <c r="AR368" t="s">
        <v>5975</v>
      </c>
      <c r="AS368" t="s">
        <v>5976</v>
      </c>
      <c r="AT368" t="s">
        <v>74</v>
      </c>
      <c r="AU368">
        <v>2008</v>
      </c>
      <c r="AV368">
        <v>366</v>
      </c>
      <c r="AW368" t="s">
        <v>74</v>
      </c>
      <c r="AX368" t="s">
        <v>74</v>
      </c>
      <c r="AY368" t="s">
        <v>74</v>
      </c>
      <c r="AZ368" t="s">
        <v>74</v>
      </c>
      <c r="BA368" t="s">
        <v>74</v>
      </c>
      <c r="BB368">
        <v>271</v>
      </c>
      <c r="BC368">
        <v>279</v>
      </c>
      <c r="BD368" t="s">
        <v>74</v>
      </c>
      <c r="BE368" t="s">
        <v>6290</v>
      </c>
      <c r="BF368" t="str">
        <f>HYPERLINK("http://dx.doi.org/10.3354/meps07617","http://dx.doi.org/10.3354/meps07617")</f>
        <v>http://dx.doi.org/10.3354/meps07617</v>
      </c>
      <c r="BG368" t="s">
        <v>74</v>
      </c>
      <c r="BH368" t="s">
        <v>74</v>
      </c>
      <c r="BI368">
        <v>9</v>
      </c>
      <c r="BJ368" t="s">
        <v>5978</v>
      </c>
      <c r="BK368" t="s">
        <v>97</v>
      </c>
      <c r="BL368" t="s">
        <v>5979</v>
      </c>
      <c r="BM368" t="s">
        <v>6245</v>
      </c>
      <c r="BN368" t="s">
        <v>74</v>
      </c>
      <c r="BO368" t="s">
        <v>179</v>
      </c>
      <c r="BP368" t="s">
        <v>74</v>
      </c>
      <c r="BQ368" t="s">
        <v>74</v>
      </c>
      <c r="BR368" t="s">
        <v>100</v>
      </c>
      <c r="BS368" t="s">
        <v>6291</v>
      </c>
      <c r="BT368" t="str">
        <f>HYPERLINK("https%3A%2F%2Fwww.webofscience.com%2Fwos%2Fwoscc%2Ffull-record%2FWOS:000259768800024","View Full Record in Web of Science")</f>
        <v>View Full Record in Web of Science</v>
      </c>
    </row>
    <row r="369" spans="1:72" x14ac:dyDescent="0.15">
      <c r="A369" t="s">
        <v>72</v>
      </c>
      <c r="B369" t="s">
        <v>6292</v>
      </c>
      <c r="C369" t="s">
        <v>74</v>
      </c>
      <c r="D369" t="s">
        <v>74</v>
      </c>
      <c r="E369" t="s">
        <v>74</v>
      </c>
      <c r="F369" t="s">
        <v>6293</v>
      </c>
      <c r="G369" t="s">
        <v>74</v>
      </c>
      <c r="H369" t="s">
        <v>74</v>
      </c>
      <c r="I369" t="s">
        <v>6294</v>
      </c>
      <c r="J369" t="s">
        <v>5961</v>
      </c>
      <c r="K369" t="s">
        <v>74</v>
      </c>
      <c r="L369" t="s">
        <v>74</v>
      </c>
      <c r="M369" t="s">
        <v>78</v>
      </c>
      <c r="N369" t="s">
        <v>79</v>
      </c>
      <c r="O369" t="s">
        <v>74</v>
      </c>
      <c r="P369" t="s">
        <v>74</v>
      </c>
      <c r="Q369" t="s">
        <v>74</v>
      </c>
      <c r="R369" t="s">
        <v>74</v>
      </c>
      <c r="S369" t="s">
        <v>74</v>
      </c>
      <c r="T369" t="s">
        <v>6295</v>
      </c>
      <c r="U369" t="s">
        <v>6296</v>
      </c>
      <c r="V369" t="s">
        <v>6297</v>
      </c>
      <c r="W369" t="s">
        <v>6298</v>
      </c>
      <c r="X369" t="s">
        <v>6299</v>
      </c>
      <c r="Y369" t="s">
        <v>6300</v>
      </c>
      <c r="Z369" t="s">
        <v>6301</v>
      </c>
      <c r="AA369" t="s">
        <v>6302</v>
      </c>
      <c r="AB369" t="s">
        <v>6303</v>
      </c>
      <c r="AC369" t="s">
        <v>6304</v>
      </c>
      <c r="AD369" t="s">
        <v>6305</v>
      </c>
      <c r="AE369" t="s">
        <v>6306</v>
      </c>
      <c r="AF369" t="s">
        <v>74</v>
      </c>
      <c r="AG369">
        <v>38</v>
      </c>
      <c r="AH369">
        <v>43</v>
      </c>
      <c r="AI369">
        <v>47</v>
      </c>
      <c r="AJ369">
        <v>0</v>
      </c>
      <c r="AK369">
        <v>15</v>
      </c>
      <c r="AL369" t="s">
        <v>167</v>
      </c>
      <c r="AM369" t="s">
        <v>168</v>
      </c>
      <c r="AN369" t="s">
        <v>169</v>
      </c>
      <c r="AO369" t="s">
        <v>5974</v>
      </c>
      <c r="AP369" t="s">
        <v>5995</v>
      </c>
      <c r="AQ369" t="s">
        <v>74</v>
      </c>
      <c r="AR369" t="s">
        <v>5975</v>
      </c>
      <c r="AS369" t="s">
        <v>5976</v>
      </c>
      <c r="AT369" t="s">
        <v>74</v>
      </c>
      <c r="AU369">
        <v>2008</v>
      </c>
      <c r="AV369">
        <v>365</v>
      </c>
      <c r="AW369" t="s">
        <v>74</v>
      </c>
      <c r="AX369" t="s">
        <v>74</v>
      </c>
      <c r="AY369" t="s">
        <v>74</v>
      </c>
      <c r="AZ369" t="s">
        <v>74</v>
      </c>
      <c r="BA369" t="s">
        <v>74</v>
      </c>
      <c r="BB369">
        <v>1</v>
      </c>
      <c r="BC369">
        <v>16</v>
      </c>
      <c r="BD369" t="s">
        <v>74</v>
      </c>
      <c r="BE369" t="s">
        <v>6307</v>
      </c>
      <c r="BF369" t="str">
        <f>HYPERLINK("http://dx.doi.org/10.3354/meps07610","http://dx.doi.org/10.3354/meps07610")</f>
        <v>http://dx.doi.org/10.3354/meps07610</v>
      </c>
      <c r="BG369" t="s">
        <v>74</v>
      </c>
      <c r="BH369" t="s">
        <v>74</v>
      </c>
      <c r="BI369">
        <v>16</v>
      </c>
      <c r="BJ369" t="s">
        <v>5978</v>
      </c>
      <c r="BK369" t="s">
        <v>97</v>
      </c>
      <c r="BL369" t="s">
        <v>5979</v>
      </c>
      <c r="BM369" t="s">
        <v>6308</v>
      </c>
      <c r="BN369" t="s">
        <v>74</v>
      </c>
      <c r="BO369" t="s">
        <v>179</v>
      </c>
      <c r="BP369" t="s">
        <v>74</v>
      </c>
      <c r="BQ369" t="s">
        <v>74</v>
      </c>
      <c r="BR369" t="s">
        <v>100</v>
      </c>
      <c r="BS369" t="s">
        <v>6309</v>
      </c>
      <c r="BT369" t="str">
        <f>HYPERLINK("https%3A%2F%2Fwww.webofscience.com%2Fwos%2Fwoscc%2Ffull-record%2FWOS:000259379600001","View Full Record in Web of Science")</f>
        <v>View Full Record in Web of Science</v>
      </c>
    </row>
    <row r="370" spans="1:72" x14ac:dyDescent="0.15">
      <c r="A370" t="s">
        <v>72</v>
      </c>
      <c r="B370" t="s">
        <v>6310</v>
      </c>
      <c r="C370" t="s">
        <v>74</v>
      </c>
      <c r="D370" t="s">
        <v>74</v>
      </c>
      <c r="E370" t="s">
        <v>74</v>
      </c>
      <c r="F370" t="s">
        <v>6311</v>
      </c>
      <c r="G370" t="s">
        <v>74</v>
      </c>
      <c r="H370" t="s">
        <v>74</v>
      </c>
      <c r="I370" t="s">
        <v>6312</v>
      </c>
      <c r="J370" t="s">
        <v>5961</v>
      </c>
      <c r="K370" t="s">
        <v>74</v>
      </c>
      <c r="L370" t="s">
        <v>74</v>
      </c>
      <c r="M370" t="s">
        <v>78</v>
      </c>
      <c r="N370" t="s">
        <v>79</v>
      </c>
      <c r="O370" t="s">
        <v>74</v>
      </c>
      <c r="P370" t="s">
        <v>74</v>
      </c>
      <c r="Q370" t="s">
        <v>74</v>
      </c>
      <c r="R370" t="s">
        <v>74</v>
      </c>
      <c r="S370" t="s">
        <v>74</v>
      </c>
      <c r="T370" t="s">
        <v>6313</v>
      </c>
      <c r="U370" t="s">
        <v>6314</v>
      </c>
      <c r="V370" t="s">
        <v>6315</v>
      </c>
      <c r="W370" t="s">
        <v>6316</v>
      </c>
      <c r="X370" t="s">
        <v>164</v>
      </c>
      <c r="Y370" t="s">
        <v>6317</v>
      </c>
      <c r="Z370" t="s">
        <v>6318</v>
      </c>
      <c r="AA370" t="s">
        <v>6319</v>
      </c>
      <c r="AB370" t="s">
        <v>6320</v>
      </c>
      <c r="AC370" t="s">
        <v>6321</v>
      </c>
      <c r="AD370" t="s">
        <v>164</v>
      </c>
      <c r="AE370" t="s">
        <v>6322</v>
      </c>
      <c r="AF370" t="s">
        <v>74</v>
      </c>
      <c r="AG370">
        <v>58</v>
      </c>
      <c r="AH370">
        <v>20</v>
      </c>
      <c r="AI370">
        <v>21</v>
      </c>
      <c r="AJ370">
        <v>0</v>
      </c>
      <c r="AK370">
        <v>8</v>
      </c>
      <c r="AL370" t="s">
        <v>167</v>
      </c>
      <c r="AM370" t="s">
        <v>168</v>
      </c>
      <c r="AN370" t="s">
        <v>169</v>
      </c>
      <c r="AO370" t="s">
        <v>5974</v>
      </c>
      <c r="AP370" t="s">
        <v>5995</v>
      </c>
      <c r="AQ370" t="s">
        <v>74</v>
      </c>
      <c r="AR370" t="s">
        <v>5975</v>
      </c>
      <c r="AS370" t="s">
        <v>5976</v>
      </c>
      <c r="AT370" t="s">
        <v>74</v>
      </c>
      <c r="AU370">
        <v>2008</v>
      </c>
      <c r="AV370">
        <v>365</v>
      </c>
      <c r="AW370" t="s">
        <v>74</v>
      </c>
      <c r="AX370" t="s">
        <v>74</v>
      </c>
      <c r="AY370" t="s">
        <v>74</v>
      </c>
      <c r="AZ370" t="s">
        <v>74</v>
      </c>
      <c r="BA370" t="s">
        <v>74</v>
      </c>
      <c r="BB370">
        <v>77</v>
      </c>
      <c r="BC370">
        <v>89</v>
      </c>
      <c r="BD370" t="s">
        <v>74</v>
      </c>
      <c r="BE370" t="s">
        <v>6323</v>
      </c>
      <c r="BF370" t="str">
        <f>HYPERLINK("http://dx.doi.org/10.3354/meps07559","http://dx.doi.org/10.3354/meps07559")</f>
        <v>http://dx.doi.org/10.3354/meps07559</v>
      </c>
      <c r="BG370" t="s">
        <v>74</v>
      </c>
      <c r="BH370" t="s">
        <v>74</v>
      </c>
      <c r="BI370">
        <v>13</v>
      </c>
      <c r="BJ370" t="s">
        <v>5978</v>
      </c>
      <c r="BK370" t="s">
        <v>97</v>
      </c>
      <c r="BL370" t="s">
        <v>5979</v>
      </c>
      <c r="BM370" t="s">
        <v>6308</v>
      </c>
      <c r="BN370" t="s">
        <v>74</v>
      </c>
      <c r="BO370" t="s">
        <v>179</v>
      </c>
      <c r="BP370" t="s">
        <v>74</v>
      </c>
      <c r="BQ370" t="s">
        <v>74</v>
      </c>
      <c r="BR370" t="s">
        <v>100</v>
      </c>
      <c r="BS370" t="s">
        <v>6324</v>
      </c>
      <c r="BT370" t="str">
        <f>HYPERLINK("https%3A%2F%2Fwww.webofscience.com%2Fwos%2Fwoscc%2Ffull-record%2FWOS:000259379600008","View Full Record in Web of Science")</f>
        <v>View Full Record in Web of Science</v>
      </c>
    </row>
    <row r="371" spans="1:72" x14ac:dyDescent="0.15">
      <c r="A371" t="s">
        <v>72</v>
      </c>
      <c r="B371" t="s">
        <v>6325</v>
      </c>
      <c r="C371" t="s">
        <v>74</v>
      </c>
      <c r="D371" t="s">
        <v>74</v>
      </c>
      <c r="E371" t="s">
        <v>74</v>
      </c>
      <c r="F371" t="s">
        <v>6326</v>
      </c>
      <c r="G371" t="s">
        <v>74</v>
      </c>
      <c r="H371" t="s">
        <v>74</v>
      </c>
      <c r="I371" t="s">
        <v>6327</v>
      </c>
      <c r="J371" t="s">
        <v>5961</v>
      </c>
      <c r="K371" t="s">
        <v>74</v>
      </c>
      <c r="L371" t="s">
        <v>74</v>
      </c>
      <c r="M371" t="s">
        <v>78</v>
      </c>
      <c r="N371" t="s">
        <v>79</v>
      </c>
      <c r="O371" t="s">
        <v>74</v>
      </c>
      <c r="P371" t="s">
        <v>74</v>
      </c>
      <c r="Q371" t="s">
        <v>74</v>
      </c>
      <c r="R371" t="s">
        <v>74</v>
      </c>
      <c r="S371" t="s">
        <v>74</v>
      </c>
      <c r="T371" t="s">
        <v>6328</v>
      </c>
      <c r="U371" t="s">
        <v>6329</v>
      </c>
      <c r="V371" t="s">
        <v>6330</v>
      </c>
      <c r="W371" t="s">
        <v>6331</v>
      </c>
      <c r="X371" t="s">
        <v>6332</v>
      </c>
      <c r="Y371" t="s">
        <v>6333</v>
      </c>
      <c r="Z371" t="s">
        <v>6334</v>
      </c>
      <c r="AA371" t="s">
        <v>6335</v>
      </c>
      <c r="AB371" t="s">
        <v>6336</v>
      </c>
      <c r="AC371" t="s">
        <v>6337</v>
      </c>
      <c r="AD371" t="s">
        <v>6338</v>
      </c>
      <c r="AE371" t="s">
        <v>6339</v>
      </c>
      <c r="AF371" t="s">
        <v>74</v>
      </c>
      <c r="AG371">
        <v>51</v>
      </c>
      <c r="AH371">
        <v>10</v>
      </c>
      <c r="AI371">
        <v>12</v>
      </c>
      <c r="AJ371">
        <v>0</v>
      </c>
      <c r="AK371">
        <v>13</v>
      </c>
      <c r="AL371" t="s">
        <v>167</v>
      </c>
      <c r="AM371" t="s">
        <v>168</v>
      </c>
      <c r="AN371" t="s">
        <v>169</v>
      </c>
      <c r="AO371" t="s">
        <v>5974</v>
      </c>
      <c r="AP371" t="s">
        <v>5995</v>
      </c>
      <c r="AQ371" t="s">
        <v>74</v>
      </c>
      <c r="AR371" t="s">
        <v>5975</v>
      </c>
      <c r="AS371" t="s">
        <v>5976</v>
      </c>
      <c r="AT371" t="s">
        <v>74</v>
      </c>
      <c r="AU371">
        <v>2008</v>
      </c>
      <c r="AV371">
        <v>365</v>
      </c>
      <c r="AW371" t="s">
        <v>74</v>
      </c>
      <c r="AX371" t="s">
        <v>74</v>
      </c>
      <c r="AY371" t="s">
        <v>74</v>
      </c>
      <c r="AZ371" t="s">
        <v>74</v>
      </c>
      <c r="BA371" t="s">
        <v>74</v>
      </c>
      <c r="BB371">
        <v>247</v>
      </c>
      <c r="BC371">
        <v>261</v>
      </c>
      <c r="BD371" t="s">
        <v>74</v>
      </c>
      <c r="BE371" t="s">
        <v>6340</v>
      </c>
      <c r="BF371" t="str">
        <f>HYPERLINK("http://dx.doi.org/10.3354/meps07513","http://dx.doi.org/10.3354/meps07513")</f>
        <v>http://dx.doi.org/10.3354/meps07513</v>
      </c>
      <c r="BG371" t="s">
        <v>74</v>
      </c>
      <c r="BH371" t="s">
        <v>74</v>
      </c>
      <c r="BI371">
        <v>15</v>
      </c>
      <c r="BJ371" t="s">
        <v>5978</v>
      </c>
      <c r="BK371" t="s">
        <v>97</v>
      </c>
      <c r="BL371" t="s">
        <v>5979</v>
      </c>
      <c r="BM371" t="s">
        <v>6308</v>
      </c>
      <c r="BN371" t="s">
        <v>74</v>
      </c>
      <c r="BO371" t="s">
        <v>179</v>
      </c>
      <c r="BP371" t="s">
        <v>74</v>
      </c>
      <c r="BQ371" t="s">
        <v>74</v>
      </c>
      <c r="BR371" t="s">
        <v>100</v>
      </c>
      <c r="BS371" t="s">
        <v>6341</v>
      </c>
      <c r="BT371" t="str">
        <f>HYPERLINK("https%3A%2F%2Fwww.webofscience.com%2Fwos%2Fwoscc%2Ffull-record%2FWOS:000259379600021","View Full Record in Web of Science")</f>
        <v>View Full Record in Web of Science</v>
      </c>
    </row>
    <row r="372" spans="1:72" x14ac:dyDescent="0.15">
      <c r="A372" t="s">
        <v>72</v>
      </c>
      <c r="B372" t="s">
        <v>6342</v>
      </c>
      <c r="C372" t="s">
        <v>74</v>
      </c>
      <c r="D372" t="s">
        <v>74</v>
      </c>
      <c r="E372" t="s">
        <v>74</v>
      </c>
      <c r="F372" t="s">
        <v>6343</v>
      </c>
      <c r="G372" t="s">
        <v>74</v>
      </c>
      <c r="H372" t="s">
        <v>74</v>
      </c>
      <c r="I372" t="s">
        <v>6344</v>
      </c>
      <c r="J372" t="s">
        <v>5961</v>
      </c>
      <c r="K372" t="s">
        <v>74</v>
      </c>
      <c r="L372" t="s">
        <v>74</v>
      </c>
      <c r="M372" t="s">
        <v>78</v>
      </c>
      <c r="N372" t="s">
        <v>79</v>
      </c>
      <c r="O372" t="s">
        <v>74</v>
      </c>
      <c r="P372" t="s">
        <v>74</v>
      </c>
      <c r="Q372" t="s">
        <v>74</v>
      </c>
      <c r="R372" t="s">
        <v>74</v>
      </c>
      <c r="S372" t="s">
        <v>74</v>
      </c>
      <c r="T372" t="s">
        <v>6345</v>
      </c>
      <c r="U372" t="s">
        <v>6346</v>
      </c>
      <c r="V372" t="s">
        <v>6347</v>
      </c>
      <c r="W372" t="s">
        <v>6348</v>
      </c>
      <c r="X372" t="s">
        <v>6349</v>
      </c>
      <c r="Y372" t="s">
        <v>6350</v>
      </c>
      <c r="Z372" t="s">
        <v>6351</v>
      </c>
      <c r="AA372" t="s">
        <v>6352</v>
      </c>
      <c r="AB372" t="s">
        <v>6353</v>
      </c>
      <c r="AC372" t="s">
        <v>74</v>
      </c>
      <c r="AD372" t="s">
        <v>74</v>
      </c>
      <c r="AE372" t="s">
        <v>74</v>
      </c>
      <c r="AF372" t="s">
        <v>74</v>
      </c>
      <c r="AG372">
        <v>52</v>
      </c>
      <c r="AH372">
        <v>21</v>
      </c>
      <c r="AI372">
        <v>23</v>
      </c>
      <c r="AJ372">
        <v>0</v>
      </c>
      <c r="AK372">
        <v>8</v>
      </c>
      <c r="AL372" t="s">
        <v>167</v>
      </c>
      <c r="AM372" t="s">
        <v>168</v>
      </c>
      <c r="AN372" t="s">
        <v>169</v>
      </c>
      <c r="AO372" t="s">
        <v>5974</v>
      </c>
      <c r="AP372" t="s">
        <v>74</v>
      </c>
      <c r="AQ372" t="s">
        <v>74</v>
      </c>
      <c r="AR372" t="s">
        <v>5975</v>
      </c>
      <c r="AS372" t="s">
        <v>5976</v>
      </c>
      <c r="AT372" t="s">
        <v>74</v>
      </c>
      <c r="AU372">
        <v>2008</v>
      </c>
      <c r="AV372">
        <v>364</v>
      </c>
      <c r="AW372" t="s">
        <v>74</v>
      </c>
      <c r="AX372" t="s">
        <v>74</v>
      </c>
      <c r="AY372" t="s">
        <v>74</v>
      </c>
      <c r="AZ372" t="s">
        <v>74</v>
      </c>
      <c r="BA372" t="s">
        <v>74</v>
      </c>
      <c r="BB372">
        <v>67</v>
      </c>
      <c r="BC372">
        <v>76</v>
      </c>
      <c r="BD372" t="s">
        <v>74</v>
      </c>
      <c r="BE372" t="s">
        <v>6354</v>
      </c>
      <c r="BF372" t="str">
        <f>HYPERLINK("http://dx.doi.org/10.3354/meps07487","http://dx.doi.org/10.3354/meps07487")</f>
        <v>http://dx.doi.org/10.3354/meps07487</v>
      </c>
      <c r="BG372" t="s">
        <v>74</v>
      </c>
      <c r="BH372" t="s">
        <v>74</v>
      </c>
      <c r="BI372">
        <v>10</v>
      </c>
      <c r="BJ372" t="s">
        <v>5978</v>
      </c>
      <c r="BK372" t="s">
        <v>97</v>
      </c>
      <c r="BL372" t="s">
        <v>5979</v>
      </c>
      <c r="BM372" t="s">
        <v>6355</v>
      </c>
      <c r="BN372" t="s">
        <v>74</v>
      </c>
      <c r="BO372" t="s">
        <v>179</v>
      </c>
      <c r="BP372" t="s">
        <v>74</v>
      </c>
      <c r="BQ372" t="s">
        <v>74</v>
      </c>
      <c r="BR372" t="s">
        <v>100</v>
      </c>
      <c r="BS372" t="s">
        <v>6356</v>
      </c>
      <c r="BT372" t="str">
        <f>HYPERLINK("https%3A%2F%2Fwww.webofscience.com%2Fwos%2Fwoscc%2Ffull-record%2FWOS:000258810800006","View Full Record in Web of Science")</f>
        <v>View Full Record in Web of Science</v>
      </c>
    </row>
    <row r="373" spans="1:72" x14ac:dyDescent="0.15">
      <c r="A373" t="s">
        <v>72</v>
      </c>
      <c r="B373" t="s">
        <v>6357</v>
      </c>
      <c r="C373" t="s">
        <v>74</v>
      </c>
      <c r="D373" t="s">
        <v>74</v>
      </c>
      <c r="E373" t="s">
        <v>74</v>
      </c>
      <c r="F373" t="s">
        <v>6358</v>
      </c>
      <c r="G373" t="s">
        <v>74</v>
      </c>
      <c r="H373" t="s">
        <v>74</v>
      </c>
      <c r="I373" t="s">
        <v>6359</v>
      </c>
      <c r="J373" t="s">
        <v>5961</v>
      </c>
      <c r="K373" t="s">
        <v>74</v>
      </c>
      <c r="L373" t="s">
        <v>74</v>
      </c>
      <c r="M373" t="s">
        <v>78</v>
      </c>
      <c r="N373" t="s">
        <v>79</v>
      </c>
      <c r="O373" t="s">
        <v>74</v>
      </c>
      <c r="P373" t="s">
        <v>74</v>
      </c>
      <c r="Q373" t="s">
        <v>74</v>
      </c>
      <c r="R373" t="s">
        <v>74</v>
      </c>
      <c r="S373" t="s">
        <v>74</v>
      </c>
      <c r="T373" t="s">
        <v>6360</v>
      </c>
      <c r="U373" t="s">
        <v>6361</v>
      </c>
      <c r="V373" t="s">
        <v>6362</v>
      </c>
      <c r="W373" t="s">
        <v>6363</v>
      </c>
      <c r="X373" t="s">
        <v>6364</v>
      </c>
      <c r="Y373" t="s">
        <v>6365</v>
      </c>
      <c r="Z373" t="s">
        <v>6366</v>
      </c>
      <c r="AA373" t="s">
        <v>6367</v>
      </c>
      <c r="AB373" t="s">
        <v>6368</v>
      </c>
      <c r="AC373" t="s">
        <v>74</v>
      </c>
      <c r="AD373" t="s">
        <v>74</v>
      </c>
      <c r="AE373" t="s">
        <v>74</v>
      </c>
      <c r="AF373" t="s">
        <v>74</v>
      </c>
      <c r="AG373">
        <v>59</v>
      </c>
      <c r="AH373">
        <v>68</v>
      </c>
      <c r="AI373">
        <v>78</v>
      </c>
      <c r="AJ373">
        <v>0</v>
      </c>
      <c r="AK373">
        <v>22</v>
      </c>
      <c r="AL373" t="s">
        <v>167</v>
      </c>
      <c r="AM373" t="s">
        <v>168</v>
      </c>
      <c r="AN373" t="s">
        <v>169</v>
      </c>
      <c r="AO373" t="s">
        <v>5974</v>
      </c>
      <c r="AP373" t="s">
        <v>5995</v>
      </c>
      <c r="AQ373" t="s">
        <v>74</v>
      </c>
      <c r="AR373" t="s">
        <v>5975</v>
      </c>
      <c r="AS373" t="s">
        <v>5976</v>
      </c>
      <c r="AT373" t="s">
        <v>74</v>
      </c>
      <c r="AU373">
        <v>2008</v>
      </c>
      <c r="AV373">
        <v>363</v>
      </c>
      <c r="AW373" t="s">
        <v>74</v>
      </c>
      <c r="AX373" t="s">
        <v>74</v>
      </c>
      <c r="AY373" t="s">
        <v>74</v>
      </c>
      <c r="AZ373" t="s">
        <v>74</v>
      </c>
      <c r="BA373" t="s">
        <v>74</v>
      </c>
      <c r="BB373">
        <v>15</v>
      </c>
      <c r="BC373">
        <v>28</v>
      </c>
      <c r="BD373" t="s">
        <v>74</v>
      </c>
      <c r="BE373" t="s">
        <v>6369</v>
      </c>
      <c r="BF373" t="str">
        <f>HYPERLINK("http://dx.doi.org/10.3354/meps07475","http://dx.doi.org/10.3354/meps07475")</f>
        <v>http://dx.doi.org/10.3354/meps07475</v>
      </c>
      <c r="BG373" t="s">
        <v>74</v>
      </c>
      <c r="BH373" t="s">
        <v>74</v>
      </c>
      <c r="BI373">
        <v>14</v>
      </c>
      <c r="BJ373" t="s">
        <v>5978</v>
      </c>
      <c r="BK373" t="s">
        <v>97</v>
      </c>
      <c r="BL373" t="s">
        <v>5979</v>
      </c>
      <c r="BM373" t="s">
        <v>6370</v>
      </c>
      <c r="BN373" t="s">
        <v>74</v>
      </c>
      <c r="BO373" t="s">
        <v>179</v>
      </c>
      <c r="BP373" t="s">
        <v>74</v>
      </c>
      <c r="BQ373" t="s">
        <v>74</v>
      </c>
      <c r="BR373" t="s">
        <v>100</v>
      </c>
      <c r="BS373" t="s">
        <v>6371</v>
      </c>
      <c r="BT373" t="str">
        <f>HYPERLINK("https%3A%2F%2Fwww.webofscience.com%2Fwos%2Fwoscc%2Ffull-record%2FWOS:000258359700002","View Full Record in Web of Science")</f>
        <v>View Full Record in Web of Science</v>
      </c>
    </row>
    <row r="374" spans="1:72" x14ac:dyDescent="0.15">
      <c r="A374" t="s">
        <v>72</v>
      </c>
      <c r="B374" t="s">
        <v>6372</v>
      </c>
      <c r="C374" t="s">
        <v>74</v>
      </c>
      <c r="D374" t="s">
        <v>74</v>
      </c>
      <c r="E374" t="s">
        <v>74</v>
      </c>
      <c r="F374" t="s">
        <v>6373</v>
      </c>
      <c r="G374" t="s">
        <v>74</v>
      </c>
      <c r="H374" t="s">
        <v>74</v>
      </c>
      <c r="I374" t="s">
        <v>6374</v>
      </c>
      <c r="J374" t="s">
        <v>5961</v>
      </c>
      <c r="K374" t="s">
        <v>74</v>
      </c>
      <c r="L374" t="s">
        <v>74</v>
      </c>
      <c r="M374" t="s">
        <v>78</v>
      </c>
      <c r="N374" t="s">
        <v>79</v>
      </c>
      <c r="O374" t="s">
        <v>74</v>
      </c>
      <c r="P374" t="s">
        <v>74</v>
      </c>
      <c r="Q374" t="s">
        <v>74</v>
      </c>
      <c r="R374" t="s">
        <v>74</v>
      </c>
      <c r="S374" t="s">
        <v>74</v>
      </c>
      <c r="T374" t="s">
        <v>6375</v>
      </c>
      <c r="U374" t="s">
        <v>6376</v>
      </c>
      <c r="V374" t="s">
        <v>6377</v>
      </c>
      <c r="W374" t="s">
        <v>6378</v>
      </c>
      <c r="X374" t="s">
        <v>6379</v>
      </c>
      <c r="Y374" t="s">
        <v>6380</v>
      </c>
      <c r="Z374" t="s">
        <v>6381</v>
      </c>
      <c r="AA374" t="s">
        <v>3349</v>
      </c>
      <c r="AB374" t="s">
        <v>6382</v>
      </c>
      <c r="AC374" t="s">
        <v>74</v>
      </c>
      <c r="AD374" t="s">
        <v>74</v>
      </c>
      <c r="AE374" t="s">
        <v>74</v>
      </c>
      <c r="AF374" t="s">
        <v>74</v>
      </c>
      <c r="AG374">
        <v>50</v>
      </c>
      <c r="AH374">
        <v>105</v>
      </c>
      <c r="AI374">
        <v>118</v>
      </c>
      <c r="AJ374">
        <v>5</v>
      </c>
      <c r="AK374">
        <v>54</v>
      </c>
      <c r="AL374" t="s">
        <v>167</v>
      </c>
      <c r="AM374" t="s">
        <v>168</v>
      </c>
      <c r="AN374" t="s">
        <v>169</v>
      </c>
      <c r="AO374" t="s">
        <v>5974</v>
      </c>
      <c r="AP374" t="s">
        <v>5995</v>
      </c>
      <c r="AQ374" t="s">
        <v>74</v>
      </c>
      <c r="AR374" t="s">
        <v>5975</v>
      </c>
      <c r="AS374" t="s">
        <v>5976</v>
      </c>
      <c r="AT374" t="s">
        <v>74</v>
      </c>
      <c r="AU374">
        <v>2008</v>
      </c>
      <c r="AV374">
        <v>363</v>
      </c>
      <c r="AW374" t="s">
        <v>74</v>
      </c>
      <c r="AX374" t="s">
        <v>74</v>
      </c>
      <c r="AY374" t="s">
        <v>74</v>
      </c>
      <c r="AZ374" t="s">
        <v>74</v>
      </c>
      <c r="BA374" t="s">
        <v>74</v>
      </c>
      <c r="BB374">
        <v>299</v>
      </c>
      <c r="BC374">
        <v>309</v>
      </c>
      <c r="BD374" t="s">
        <v>74</v>
      </c>
      <c r="BE374" t="s">
        <v>6383</v>
      </c>
      <c r="BF374" t="str">
        <f>HYPERLINK("http://dx.doi.org/10.3354/meps07457","http://dx.doi.org/10.3354/meps07457")</f>
        <v>http://dx.doi.org/10.3354/meps07457</v>
      </c>
      <c r="BG374" t="s">
        <v>74</v>
      </c>
      <c r="BH374" t="s">
        <v>74</v>
      </c>
      <c r="BI374">
        <v>11</v>
      </c>
      <c r="BJ374" t="s">
        <v>5978</v>
      </c>
      <c r="BK374" t="s">
        <v>97</v>
      </c>
      <c r="BL374" t="s">
        <v>5979</v>
      </c>
      <c r="BM374" t="s">
        <v>6370</v>
      </c>
      <c r="BN374" t="s">
        <v>74</v>
      </c>
      <c r="BO374" t="s">
        <v>179</v>
      </c>
      <c r="BP374" t="s">
        <v>74</v>
      </c>
      <c r="BQ374" t="s">
        <v>74</v>
      </c>
      <c r="BR374" t="s">
        <v>100</v>
      </c>
      <c r="BS374" t="s">
        <v>6384</v>
      </c>
      <c r="BT374" t="str">
        <f>HYPERLINK("https%3A%2F%2Fwww.webofscience.com%2Fwos%2Fwoscc%2Ffull-record%2FWOS:000258359700024","View Full Record in Web of Science")</f>
        <v>View Full Record in Web of Science</v>
      </c>
    </row>
    <row r="375" spans="1:72" x14ac:dyDescent="0.15">
      <c r="A375" t="s">
        <v>72</v>
      </c>
      <c r="B375" t="s">
        <v>6385</v>
      </c>
      <c r="C375" t="s">
        <v>74</v>
      </c>
      <c r="D375" t="s">
        <v>74</v>
      </c>
      <c r="E375" t="s">
        <v>74</v>
      </c>
      <c r="F375" t="s">
        <v>6386</v>
      </c>
      <c r="G375" t="s">
        <v>74</v>
      </c>
      <c r="H375" t="s">
        <v>74</v>
      </c>
      <c r="I375" t="s">
        <v>6387</v>
      </c>
      <c r="J375" t="s">
        <v>5961</v>
      </c>
      <c r="K375" t="s">
        <v>74</v>
      </c>
      <c r="L375" t="s">
        <v>74</v>
      </c>
      <c r="M375" t="s">
        <v>78</v>
      </c>
      <c r="N375" t="s">
        <v>106</v>
      </c>
      <c r="O375" t="s">
        <v>74</v>
      </c>
      <c r="P375" t="s">
        <v>74</v>
      </c>
      <c r="Q375" t="s">
        <v>74</v>
      </c>
      <c r="R375" t="s">
        <v>74</v>
      </c>
      <c r="S375" t="s">
        <v>74</v>
      </c>
      <c r="T375" t="s">
        <v>6388</v>
      </c>
      <c r="U375" t="s">
        <v>6389</v>
      </c>
      <c r="V375" t="s">
        <v>6390</v>
      </c>
      <c r="W375" t="s">
        <v>6391</v>
      </c>
      <c r="X375" t="s">
        <v>6392</v>
      </c>
      <c r="Y375" t="s">
        <v>6393</v>
      </c>
      <c r="Z375" t="s">
        <v>74</v>
      </c>
      <c r="AA375" t="s">
        <v>6394</v>
      </c>
      <c r="AB375" t="s">
        <v>74</v>
      </c>
      <c r="AC375" t="s">
        <v>6395</v>
      </c>
      <c r="AD375" t="s">
        <v>242</v>
      </c>
      <c r="AE375" t="s">
        <v>74</v>
      </c>
      <c r="AF375" t="s">
        <v>74</v>
      </c>
      <c r="AG375">
        <v>128</v>
      </c>
      <c r="AH375">
        <v>293</v>
      </c>
      <c r="AI375">
        <v>327</v>
      </c>
      <c r="AJ375">
        <v>10</v>
      </c>
      <c r="AK375">
        <v>108</v>
      </c>
      <c r="AL375" t="s">
        <v>167</v>
      </c>
      <c r="AM375" t="s">
        <v>168</v>
      </c>
      <c r="AN375" t="s">
        <v>169</v>
      </c>
      <c r="AO375" t="s">
        <v>5974</v>
      </c>
      <c r="AP375" t="s">
        <v>5995</v>
      </c>
      <c r="AQ375" t="s">
        <v>74</v>
      </c>
      <c r="AR375" t="s">
        <v>5975</v>
      </c>
      <c r="AS375" t="s">
        <v>5976</v>
      </c>
      <c r="AT375" t="s">
        <v>74</v>
      </c>
      <c r="AU375">
        <v>2008</v>
      </c>
      <c r="AV375">
        <v>362</v>
      </c>
      <c r="AW375" t="s">
        <v>74</v>
      </c>
      <c r="AX375" t="s">
        <v>74</v>
      </c>
      <c r="AY375" t="s">
        <v>74</v>
      </c>
      <c r="AZ375" t="s">
        <v>74</v>
      </c>
      <c r="BA375" t="s">
        <v>74</v>
      </c>
      <c r="BB375">
        <v>1</v>
      </c>
      <c r="BC375">
        <v>23</v>
      </c>
      <c r="BD375" t="s">
        <v>74</v>
      </c>
      <c r="BE375" t="s">
        <v>6396</v>
      </c>
      <c r="BF375" t="str">
        <f>HYPERLINK("http://dx.doi.org/10.3354/meps07498","http://dx.doi.org/10.3354/meps07498")</f>
        <v>http://dx.doi.org/10.3354/meps07498</v>
      </c>
      <c r="BG375" t="s">
        <v>74</v>
      </c>
      <c r="BH375" t="s">
        <v>74</v>
      </c>
      <c r="BI375">
        <v>23</v>
      </c>
      <c r="BJ375" t="s">
        <v>5978</v>
      </c>
      <c r="BK375" t="s">
        <v>97</v>
      </c>
      <c r="BL375" t="s">
        <v>5979</v>
      </c>
      <c r="BM375" t="s">
        <v>6397</v>
      </c>
      <c r="BN375" t="s">
        <v>74</v>
      </c>
      <c r="BO375" t="s">
        <v>179</v>
      </c>
      <c r="BP375" t="s">
        <v>74</v>
      </c>
      <c r="BQ375" t="s">
        <v>74</v>
      </c>
      <c r="BR375" t="s">
        <v>100</v>
      </c>
      <c r="BS375" t="s">
        <v>6398</v>
      </c>
      <c r="BT375" t="str">
        <f>HYPERLINK("https%3A%2F%2Fwww.webofscience.com%2Fwos%2Fwoscc%2Ffull-record%2FWOS:000257849900001","View Full Record in Web of Science")</f>
        <v>View Full Record in Web of Science</v>
      </c>
    </row>
    <row r="376" spans="1:72" x14ac:dyDescent="0.15">
      <c r="A376" t="s">
        <v>72</v>
      </c>
      <c r="B376" t="s">
        <v>6399</v>
      </c>
      <c r="C376" t="s">
        <v>74</v>
      </c>
      <c r="D376" t="s">
        <v>74</v>
      </c>
      <c r="E376" t="s">
        <v>74</v>
      </c>
      <c r="F376" t="s">
        <v>6400</v>
      </c>
      <c r="G376" t="s">
        <v>74</v>
      </c>
      <c r="H376" t="s">
        <v>74</v>
      </c>
      <c r="I376" t="s">
        <v>6401</v>
      </c>
      <c r="J376" t="s">
        <v>5961</v>
      </c>
      <c r="K376" t="s">
        <v>74</v>
      </c>
      <c r="L376" t="s">
        <v>74</v>
      </c>
      <c r="M376" t="s">
        <v>78</v>
      </c>
      <c r="N376" t="s">
        <v>79</v>
      </c>
      <c r="O376" t="s">
        <v>74</v>
      </c>
      <c r="P376" t="s">
        <v>74</v>
      </c>
      <c r="Q376" t="s">
        <v>74</v>
      </c>
      <c r="R376" t="s">
        <v>74</v>
      </c>
      <c r="S376" t="s">
        <v>74</v>
      </c>
      <c r="T376" t="s">
        <v>6402</v>
      </c>
      <c r="U376" t="s">
        <v>6403</v>
      </c>
      <c r="V376" t="s">
        <v>6404</v>
      </c>
      <c r="W376" t="s">
        <v>6405</v>
      </c>
      <c r="X376" t="s">
        <v>6406</v>
      </c>
      <c r="Y376" t="s">
        <v>6407</v>
      </c>
      <c r="Z376" t="s">
        <v>6408</v>
      </c>
      <c r="AA376" t="s">
        <v>6409</v>
      </c>
      <c r="AB376" t="s">
        <v>6410</v>
      </c>
      <c r="AC376" t="s">
        <v>74</v>
      </c>
      <c r="AD376" t="s">
        <v>74</v>
      </c>
      <c r="AE376" t="s">
        <v>74</v>
      </c>
      <c r="AF376" t="s">
        <v>74</v>
      </c>
      <c r="AG376">
        <v>94</v>
      </c>
      <c r="AH376">
        <v>11</v>
      </c>
      <c r="AI376">
        <v>12</v>
      </c>
      <c r="AJ376">
        <v>0</v>
      </c>
      <c r="AK376">
        <v>21</v>
      </c>
      <c r="AL376" t="s">
        <v>167</v>
      </c>
      <c r="AM376" t="s">
        <v>168</v>
      </c>
      <c r="AN376" t="s">
        <v>169</v>
      </c>
      <c r="AO376" t="s">
        <v>5974</v>
      </c>
      <c r="AP376" t="s">
        <v>74</v>
      </c>
      <c r="AQ376" t="s">
        <v>74</v>
      </c>
      <c r="AR376" t="s">
        <v>5975</v>
      </c>
      <c r="AS376" t="s">
        <v>5976</v>
      </c>
      <c r="AT376" t="s">
        <v>74</v>
      </c>
      <c r="AU376">
        <v>2008</v>
      </c>
      <c r="AV376">
        <v>360</v>
      </c>
      <c r="AW376" t="s">
        <v>74</v>
      </c>
      <c r="AX376" t="s">
        <v>74</v>
      </c>
      <c r="AY376" t="s">
        <v>74</v>
      </c>
      <c r="AZ376" t="s">
        <v>74</v>
      </c>
      <c r="BA376" t="s">
        <v>74</v>
      </c>
      <c r="BB376">
        <v>147</v>
      </c>
      <c r="BC376">
        <v>161</v>
      </c>
      <c r="BD376" t="s">
        <v>74</v>
      </c>
      <c r="BE376" t="s">
        <v>6411</v>
      </c>
      <c r="BF376" t="str">
        <f>HYPERLINK("http://dx.doi.org/10.3354/meps07366","http://dx.doi.org/10.3354/meps07366")</f>
        <v>http://dx.doi.org/10.3354/meps07366</v>
      </c>
      <c r="BG376" t="s">
        <v>74</v>
      </c>
      <c r="BH376" t="s">
        <v>74</v>
      </c>
      <c r="BI376">
        <v>15</v>
      </c>
      <c r="BJ376" t="s">
        <v>5978</v>
      </c>
      <c r="BK376" t="s">
        <v>97</v>
      </c>
      <c r="BL376" t="s">
        <v>5979</v>
      </c>
      <c r="BM376" t="s">
        <v>6412</v>
      </c>
      <c r="BN376" t="s">
        <v>74</v>
      </c>
      <c r="BO376" t="s">
        <v>179</v>
      </c>
      <c r="BP376" t="s">
        <v>74</v>
      </c>
      <c r="BQ376" t="s">
        <v>74</v>
      </c>
      <c r="BR376" t="s">
        <v>100</v>
      </c>
      <c r="BS376" t="s">
        <v>6413</v>
      </c>
      <c r="BT376" t="str">
        <f>HYPERLINK("https%3A%2F%2Fwww.webofscience.com%2Fwos%2Fwoscc%2Ffull-record%2FWOS:000257050600014","View Full Record in Web of Science")</f>
        <v>View Full Record in Web of Science</v>
      </c>
    </row>
    <row r="377" spans="1:72" x14ac:dyDescent="0.15">
      <c r="A377" t="s">
        <v>72</v>
      </c>
      <c r="B377" t="s">
        <v>6414</v>
      </c>
      <c r="C377" t="s">
        <v>74</v>
      </c>
      <c r="D377" t="s">
        <v>74</v>
      </c>
      <c r="E377" t="s">
        <v>74</v>
      </c>
      <c r="F377" t="s">
        <v>6415</v>
      </c>
      <c r="G377" t="s">
        <v>74</v>
      </c>
      <c r="H377" t="s">
        <v>74</v>
      </c>
      <c r="I377" t="s">
        <v>6416</v>
      </c>
      <c r="J377" t="s">
        <v>5961</v>
      </c>
      <c r="K377" t="s">
        <v>74</v>
      </c>
      <c r="L377" t="s">
        <v>74</v>
      </c>
      <c r="M377" t="s">
        <v>78</v>
      </c>
      <c r="N377" t="s">
        <v>79</v>
      </c>
      <c r="O377" t="s">
        <v>74</v>
      </c>
      <c r="P377" t="s">
        <v>74</v>
      </c>
      <c r="Q377" t="s">
        <v>74</v>
      </c>
      <c r="R377" t="s">
        <v>74</v>
      </c>
      <c r="S377" t="s">
        <v>74</v>
      </c>
      <c r="T377" t="s">
        <v>6417</v>
      </c>
      <c r="U377" t="s">
        <v>6418</v>
      </c>
      <c r="V377" t="s">
        <v>6419</v>
      </c>
      <c r="W377" t="s">
        <v>6420</v>
      </c>
      <c r="X377" t="s">
        <v>6421</v>
      </c>
      <c r="Y377" t="s">
        <v>6422</v>
      </c>
      <c r="Z377" t="s">
        <v>6423</v>
      </c>
      <c r="AA377" t="s">
        <v>6424</v>
      </c>
      <c r="AB377" t="s">
        <v>6425</v>
      </c>
      <c r="AC377" t="s">
        <v>74</v>
      </c>
      <c r="AD377" t="s">
        <v>74</v>
      </c>
      <c r="AE377" t="s">
        <v>74</v>
      </c>
      <c r="AF377" t="s">
        <v>74</v>
      </c>
      <c r="AG377">
        <v>51</v>
      </c>
      <c r="AH377">
        <v>23</v>
      </c>
      <c r="AI377">
        <v>23</v>
      </c>
      <c r="AJ377">
        <v>1</v>
      </c>
      <c r="AK377">
        <v>21</v>
      </c>
      <c r="AL377" t="s">
        <v>167</v>
      </c>
      <c r="AM377" t="s">
        <v>168</v>
      </c>
      <c r="AN377" t="s">
        <v>169</v>
      </c>
      <c r="AO377" t="s">
        <v>5974</v>
      </c>
      <c r="AP377" t="s">
        <v>74</v>
      </c>
      <c r="AQ377" t="s">
        <v>74</v>
      </c>
      <c r="AR377" t="s">
        <v>5975</v>
      </c>
      <c r="AS377" t="s">
        <v>5976</v>
      </c>
      <c r="AT377" t="s">
        <v>74</v>
      </c>
      <c r="AU377">
        <v>2008</v>
      </c>
      <c r="AV377">
        <v>359</v>
      </c>
      <c r="AW377" t="s">
        <v>74</v>
      </c>
      <c r="AX377" t="s">
        <v>74</v>
      </c>
      <c r="AY377" t="s">
        <v>74</v>
      </c>
      <c r="AZ377" t="s">
        <v>74</v>
      </c>
      <c r="BA377" t="s">
        <v>74</v>
      </c>
      <c r="BB377">
        <v>161</v>
      </c>
      <c r="BC377">
        <v>170</v>
      </c>
      <c r="BD377" t="s">
        <v>74</v>
      </c>
      <c r="BE377" t="s">
        <v>6426</v>
      </c>
      <c r="BF377" t="str">
        <f>HYPERLINK("http://dx.doi.org/10.3354/meps07344","http://dx.doi.org/10.3354/meps07344")</f>
        <v>http://dx.doi.org/10.3354/meps07344</v>
      </c>
      <c r="BG377" t="s">
        <v>74</v>
      </c>
      <c r="BH377" t="s">
        <v>74</v>
      </c>
      <c r="BI377">
        <v>10</v>
      </c>
      <c r="BJ377" t="s">
        <v>5978</v>
      </c>
      <c r="BK377" t="s">
        <v>97</v>
      </c>
      <c r="BL377" t="s">
        <v>5979</v>
      </c>
      <c r="BM377" t="s">
        <v>6427</v>
      </c>
      <c r="BN377" t="s">
        <v>74</v>
      </c>
      <c r="BO377" t="s">
        <v>179</v>
      </c>
      <c r="BP377" t="s">
        <v>74</v>
      </c>
      <c r="BQ377" t="s">
        <v>74</v>
      </c>
      <c r="BR377" t="s">
        <v>100</v>
      </c>
      <c r="BS377" t="s">
        <v>6428</v>
      </c>
      <c r="BT377" t="str">
        <f>HYPERLINK("https%3A%2F%2Fwww.webofscience.com%2Fwos%2Fwoscc%2Ffull-record%2FWOS:000256338000013","View Full Record in Web of Science")</f>
        <v>View Full Record in Web of Science</v>
      </c>
    </row>
    <row r="378" spans="1:72" x14ac:dyDescent="0.15">
      <c r="A378" t="s">
        <v>72</v>
      </c>
      <c r="B378" t="s">
        <v>6429</v>
      </c>
      <c r="C378" t="s">
        <v>74</v>
      </c>
      <c r="D378" t="s">
        <v>74</v>
      </c>
      <c r="E378" t="s">
        <v>74</v>
      </c>
      <c r="F378" t="s">
        <v>6430</v>
      </c>
      <c r="G378" t="s">
        <v>74</v>
      </c>
      <c r="H378" t="s">
        <v>74</v>
      </c>
      <c r="I378" t="s">
        <v>6431</v>
      </c>
      <c r="J378" t="s">
        <v>5961</v>
      </c>
      <c r="K378" t="s">
        <v>74</v>
      </c>
      <c r="L378" t="s">
        <v>74</v>
      </c>
      <c r="M378" t="s">
        <v>78</v>
      </c>
      <c r="N378" t="s">
        <v>79</v>
      </c>
      <c r="O378" t="s">
        <v>74</v>
      </c>
      <c r="P378" t="s">
        <v>74</v>
      </c>
      <c r="Q378" t="s">
        <v>74</v>
      </c>
      <c r="R378" t="s">
        <v>74</v>
      </c>
      <c r="S378" t="s">
        <v>74</v>
      </c>
      <c r="T378" t="s">
        <v>6432</v>
      </c>
      <c r="U378" t="s">
        <v>6433</v>
      </c>
      <c r="V378" t="s">
        <v>6434</v>
      </c>
      <c r="W378" t="s">
        <v>6435</v>
      </c>
      <c r="X378" t="s">
        <v>6436</v>
      </c>
      <c r="Y378" t="s">
        <v>6437</v>
      </c>
      <c r="Z378" t="s">
        <v>6438</v>
      </c>
      <c r="AA378" t="s">
        <v>6439</v>
      </c>
      <c r="AB378" t="s">
        <v>6440</v>
      </c>
      <c r="AC378" t="s">
        <v>74</v>
      </c>
      <c r="AD378" t="s">
        <v>74</v>
      </c>
      <c r="AE378" t="s">
        <v>74</v>
      </c>
      <c r="AF378" t="s">
        <v>74</v>
      </c>
      <c r="AG378">
        <v>49</v>
      </c>
      <c r="AH378">
        <v>88</v>
      </c>
      <c r="AI378">
        <v>95</v>
      </c>
      <c r="AJ378">
        <v>0</v>
      </c>
      <c r="AK378">
        <v>26</v>
      </c>
      <c r="AL378" t="s">
        <v>167</v>
      </c>
      <c r="AM378" t="s">
        <v>168</v>
      </c>
      <c r="AN378" t="s">
        <v>169</v>
      </c>
      <c r="AO378" t="s">
        <v>5974</v>
      </c>
      <c r="AP378" t="s">
        <v>74</v>
      </c>
      <c r="AQ378" t="s">
        <v>74</v>
      </c>
      <c r="AR378" t="s">
        <v>5975</v>
      </c>
      <c r="AS378" t="s">
        <v>5976</v>
      </c>
      <c r="AT378" t="s">
        <v>74</v>
      </c>
      <c r="AU378">
        <v>2008</v>
      </c>
      <c r="AV378">
        <v>359</v>
      </c>
      <c r="AW378" t="s">
        <v>74</v>
      </c>
      <c r="AX378" t="s">
        <v>74</v>
      </c>
      <c r="AY378" t="s">
        <v>74</v>
      </c>
      <c r="AZ378" t="s">
        <v>74</v>
      </c>
      <c r="BA378" t="s">
        <v>74</v>
      </c>
      <c r="BB378">
        <v>283</v>
      </c>
      <c r="BC378">
        <v>293</v>
      </c>
      <c r="BD378" t="s">
        <v>74</v>
      </c>
      <c r="BE378" t="s">
        <v>6441</v>
      </c>
      <c r="BF378" t="str">
        <f>HYPERLINK("http://dx.doi.org/10.3354/meps07340","http://dx.doi.org/10.3354/meps07340")</f>
        <v>http://dx.doi.org/10.3354/meps07340</v>
      </c>
      <c r="BG378" t="s">
        <v>74</v>
      </c>
      <c r="BH378" t="s">
        <v>74</v>
      </c>
      <c r="BI378">
        <v>11</v>
      </c>
      <c r="BJ378" t="s">
        <v>5978</v>
      </c>
      <c r="BK378" t="s">
        <v>97</v>
      </c>
      <c r="BL378" t="s">
        <v>5979</v>
      </c>
      <c r="BM378" t="s">
        <v>6427</v>
      </c>
      <c r="BN378" t="s">
        <v>74</v>
      </c>
      <c r="BO378" t="s">
        <v>179</v>
      </c>
      <c r="BP378" t="s">
        <v>74</v>
      </c>
      <c r="BQ378" t="s">
        <v>74</v>
      </c>
      <c r="BR378" t="s">
        <v>100</v>
      </c>
      <c r="BS378" t="s">
        <v>6442</v>
      </c>
      <c r="BT378" t="str">
        <f>HYPERLINK("https%3A%2F%2Fwww.webofscience.com%2Fwos%2Fwoscc%2Ffull-record%2FWOS:000256338000023","View Full Record in Web of Science")</f>
        <v>View Full Record in Web of Science</v>
      </c>
    </row>
    <row r="379" spans="1:72" x14ac:dyDescent="0.15">
      <c r="A379" t="s">
        <v>72</v>
      </c>
      <c r="B379" t="s">
        <v>6443</v>
      </c>
      <c r="C379" t="s">
        <v>74</v>
      </c>
      <c r="D379" t="s">
        <v>74</v>
      </c>
      <c r="E379" t="s">
        <v>74</v>
      </c>
      <c r="F379" t="s">
        <v>6444</v>
      </c>
      <c r="G379" t="s">
        <v>74</v>
      </c>
      <c r="H379" t="s">
        <v>74</v>
      </c>
      <c r="I379" t="s">
        <v>6445</v>
      </c>
      <c r="J379" t="s">
        <v>5961</v>
      </c>
      <c r="K379" t="s">
        <v>74</v>
      </c>
      <c r="L379" t="s">
        <v>74</v>
      </c>
      <c r="M379" t="s">
        <v>78</v>
      </c>
      <c r="N379" t="s">
        <v>79</v>
      </c>
      <c r="O379" t="s">
        <v>74</v>
      </c>
      <c r="P379" t="s">
        <v>74</v>
      </c>
      <c r="Q379" t="s">
        <v>74</v>
      </c>
      <c r="R379" t="s">
        <v>74</v>
      </c>
      <c r="S379" t="s">
        <v>74</v>
      </c>
      <c r="T379" t="s">
        <v>6446</v>
      </c>
      <c r="U379" t="s">
        <v>6447</v>
      </c>
      <c r="V379" t="s">
        <v>6448</v>
      </c>
      <c r="W379" t="s">
        <v>6449</v>
      </c>
      <c r="X379" t="s">
        <v>6450</v>
      </c>
      <c r="Y379" t="s">
        <v>6451</v>
      </c>
      <c r="Z379" t="s">
        <v>6452</v>
      </c>
      <c r="AA379" t="s">
        <v>6453</v>
      </c>
      <c r="AB379" t="s">
        <v>6454</v>
      </c>
      <c r="AC379" t="s">
        <v>74</v>
      </c>
      <c r="AD379" t="s">
        <v>74</v>
      </c>
      <c r="AE379" t="s">
        <v>74</v>
      </c>
      <c r="AF379" t="s">
        <v>74</v>
      </c>
      <c r="AG379">
        <v>53</v>
      </c>
      <c r="AH379">
        <v>26</v>
      </c>
      <c r="AI379">
        <v>29</v>
      </c>
      <c r="AJ379">
        <v>0</v>
      </c>
      <c r="AK379">
        <v>46</v>
      </c>
      <c r="AL379" t="s">
        <v>167</v>
      </c>
      <c r="AM379" t="s">
        <v>168</v>
      </c>
      <c r="AN379" t="s">
        <v>169</v>
      </c>
      <c r="AO379" t="s">
        <v>5974</v>
      </c>
      <c r="AP379" t="s">
        <v>5995</v>
      </c>
      <c r="AQ379" t="s">
        <v>74</v>
      </c>
      <c r="AR379" t="s">
        <v>5975</v>
      </c>
      <c r="AS379" t="s">
        <v>5976</v>
      </c>
      <c r="AT379" t="s">
        <v>74</v>
      </c>
      <c r="AU379">
        <v>2008</v>
      </c>
      <c r="AV379">
        <v>359</v>
      </c>
      <c r="AW379" t="s">
        <v>74</v>
      </c>
      <c r="AX379" t="s">
        <v>74</v>
      </c>
      <c r="AY379" t="s">
        <v>74</v>
      </c>
      <c r="AZ379" t="s">
        <v>74</v>
      </c>
      <c r="BA379" t="s">
        <v>74</v>
      </c>
      <c r="BB379">
        <v>295</v>
      </c>
      <c r="BC379">
        <v>309</v>
      </c>
      <c r="BD379" t="s">
        <v>74</v>
      </c>
      <c r="BE379" t="s">
        <v>6455</v>
      </c>
      <c r="BF379" t="str">
        <f>HYPERLINK("http://dx.doi.org/10.3354/meps07307","http://dx.doi.org/10.3354/meps07307")</f>
        <v>http://dx.doi.org/10.3354/meps07307</v>
      </c>
      <c r="BG379" t="s">
        <v>74</v>
      </c>
      <c r="BH379" t="s">
        <v>74</v>
      </c>
      <c r="BI379">
        <v>15</v>
      </c>
      <c r="BJ379" t="s">
        <v>5978</v>
      </c>
      <c r="BK379" t="s">
        <v>97</v>
      </c>
      <c r="BL379" t="s">
        <v>5979</v>
      </c>
      <c r="BM379" t="s">
        <v>6427</v>
      </c>
      <c r="BN379" t="s">
        <v>74</v>
      </c>
      <c r="BO379" t="s">
        <v>179</v>
      </c>
      <c r="BP379" t="s">
        <v>74</v>
      </c>
      <c r="BQ379" t="s">
        <v>74</v>
      </c>
      <c r="BR379" t="s">
        <v>100</v>
      </c>
      <c r="BS379" t="s">
        <v>6456</v>
      </c>
      <c r="BT379" t="str">
        <f>HYPERLINK("https%3A%2F%2Fwww.webofscience.com%2Fwos%2Fwoscc%2Ffull-record%2FWOS:000256338000024","View Full Record in Web of Science")</f>
        <v>View Full Record in Web of Science</v>
      </c>
    </row>
    <row r="380" spans="1:72" x14ac:dyDescent="0.15">
      <c r="A380" t="s">
        <v>72</v>
      </c>
      <c r="B380" t="s">
        <v>6457</v>
      </c>
      <c r="C380" t="s">
        <v>74</v>
      </c>
      <c r="D380" t="s">
        <v>74</v>
      </c>
      <c r="E380" t="s">
        <v>74</v>
      </c>
      <c r="F380" t="s">
        <v>6458</v>
      </c>
      <c r="G380" t="s">
        <v>74</v>
      </c>
      <c r="H380" t="s">
        <v>74</v>
      </c>
      <c r="I380" t="s">
        <v>6459</v>
      </c>
      <c r="J380" t="s">
        <v>5961</v>
      </c>
      <c r="K380" t="s">
        <v>74</v>
      </c>
      <c r="L380" t="s">
        <v>74</v>
      </c>
      <c r="M380" t="s">
        <v>78</v>
      </c>
      <c r="N380" t="s">
        <v>79</v>
      </c>
      <c r="O380" t="s">
        <v>74</v>
      </c>
      <c r="P380" t="s">
        <v>74</v>
      </c>
      <c r="Q380" t="s">
        <v>74</v>
      </c>
      <c r="R380" t="s">
        <v>74</v>
      </c>
      <c r="S380" t="s">
        <v>74</v>
      </c>
      <c r="T380" t="s">
        <v>6460</v>
      </c>
      <c r="U380" t="s">
        <v>6461</v>
      </c>
      <c r="V380" t="s">
        <v>6462</v>
      </c>
      <c r="W380" t="s">
        <v>6463</v>
      </c>
      <c r="X380" t="s">
        <v>440</v>
      </c>
      <c r="Y380" t="s">
        <v>6464</v>
      </c>
      <c r="Z380" t="s">
        <v>6465</v>
      </c>
      <c r="AA380" t="s">
        <v>6466</v>
      </c>
      <c r="AB380" t="s">
        <v>6467</v>
      </c>
      <c r="AC380" t="s">
        <v>6468</v>
      </c>
      <c r="AD380" t="s">
        <v>242</v>
      </c>
      <c r="AE380" t="s">
        <v>74</v>
      </c>
      <c r="AF380" t="s">
        <v>74</v>
      </c>
      <c r="AG380">
        <v>31</v>
      </c>
      <c r="AH380">
        <v>69</v>
      </c>
      <c r="AI380">
        <v>75</v>
      </c>
      <c r="AJ380">
        <v>1</v>
      </c>
      <c r="AK380">
        <v>47</v>
      </c>
      <c r="AL380" t="s">
        <v>167</v>
      </c>
      <c r="AM380" t="s">
        <v>168</v>
      </c>
      <c r="AN380" t="s">
        <v>169</v>
      </c>
      <c r="AO380" t="s">
        <v>5974</v>
      </c>
      <c r="AP380" t="s">
        <v>5995</v>
      </c>
      <c r="AQ380" t="s">
        <v>74</v>
      </c>
      <c r="AR380" t="s">
        <v>5975</v>
      </c>
      <c r="AS380" t="s">
        <v>5976</v>
      </c>
      <c r="AT380" t="s">
        <v>74</v>
      </c>
      <c r="AU380">
        <v>2008</v>
      </c>
      <c r="AV380">
        <v>358</v>
      </c>
      <c r="AW380" t="s">
        <v>74</v>
      </c>
      <c r="AX380" t="s">
        <v>74</v>
      </c>
      <c r="AY380" t="s">
        <v>74</v>
      </c>
      <c r="AZ380" t="s">
        <v>74</v>
      </c>
      <c r="BA380" t="s">
        <v>74</v>
      </c>
      <c r="BB380">
        <v>181</v>
      </c>
      <c r="BC380">
        <v>189</v>
      </c>
      <c r="BD380" t="s">
        <v>74</v>
      </c>
      <c r="BE380" t="s">
        <v>6469</v>
      </c>
      <c r="BF380" t="str">
        <f>HYPERLINK("http://dx.doi.org/10.3354/meps07336","http://dx.doi.org/10.3354/meps07336")</f>
        <v>http://dx.doi.org/10.3354/meps07336</v>
      </c>
      <c r="BG380" t="s">
        <v>74</v>
      </c>
      <c r="BH380" t="s">
        <v>74</v>
      </c>
      <c r="BI380">
        <v>9</v>
      </c>
      <c r="BJ380" t="s">
        <v>5978</v>
      </c>
      <c r="BK380" t="s">
        <v>97</v>
      </c>
      <c r="BL380" t="s">
        <v>5979</v>
      </c>
      <c r="BM380" t="s">
        <v>6470</v>
      </c>
      <c r="BN380" t="s">
        <v>74</v>
      </c>
      <c r="BO380" t="s">
        <v>592</v>
      </c>
      <c r="BP380" t="s">
        <v>74</v>
      </c>
      <c r="BQ380" t="s">
        <v>74</v>
      </c>
      <c r="BR380" t="s">
        <v>100</v>
      </c>
      <c r="BS380" t="s">
        <v>6471</v>
      </c>
      <c r="BT380" t="str">
        <f>HYPERLINK("https%3A%2F%2Fwww.webofscience.com%2Fwos%2Fwoscc%2Ffull-record%2FWOS:000256228300017","View Full Record in Web of Science")</f>
        <v>View Full Record in Web of Science</v>
      </c>
    </row>
    <row r="381" spans="1:72" x14ac:dyDescent="0.15">
      <c r="A381" t="s">
        <v>72</v>
      </c>
      <c r="B381" t="s">
        <v>6472</v>
      </c>
      <c r="C381" t="s">
        <v>74</v>
      </c>
      <c r="D381" t="s">
        <v>74</v>
      </c>
      <c r="E381" t="s">
        <v>74</v>
      </c>
      <c r="F381" t="s">
        <v>6473</v>
      </c>
      <c r="G381" t="s">
        <v>74</v>
      </c>
      <c r="H381" t="s">
        <v>74</v>
      </c>
      <c r="I381" t="s">
        <v>6474</v>
      </c>
      <c r="J381" t="s">
        <v>5961</v>
      </c>
      <c r="K381" t="s">
        <v>74</v>
      </c>
      <c r="L381" t="s">
        <v>74</v>
      </c>
      <c r="M381" t="s">
        <v>78</v>
      </c>
      <c r="N381" t="s">
        <v>79</v>
      </c>
      <c r="O381" t="s">
        <v>74</v>
      </c>
      <c r="P381" t="s">
        <v>74</v>
      </c>
      <c r="Q381" t="s">
        <v>74</v>
      </c>
      <c r="R381" t="s">
        <v>74</v>
      </c>
      <c r="S381" t="s">
        <v>74</v>
      </c>
      <c r="T381" t="s">
        <v>6475</v>
      </c>
      <c r="U381" t="s">
        <v>6476</v>
      </c>
      <c r="V381" t="s">
        <v>6477</v>
      </c>
      <c r="W381" t="s">
        <v>6478</v>
      </c>
      <c r="X381" t="s">
        <v>6479</v>
      </c>
      <c r="Y381" t="s">
        <v>6480</v>
      </c>
      <c r="Z381" t="s">
        <v>6481</v>
      </c>
      <c r="AA381" t="s">
        <v>74</v>
      </c>
      <c r="AB381" t="s">
        <v>6482</v>
      </c>
      <c r="AC381" t="s">
        <v>74</v>
      </c>
      <c r="AD381" t="s">
        <v>74</v>
      </c>
      <c r="AE381" t="s">
        <v>74</v>
      </c>
      <c r="AF381" t="s">
        <v>74</v>
      </c>
      <c r="AG381">
        <v>52</v>
      </c>
      <c r="AH381">
        <v>40</v>
      </c>
      <c r="AI381">
        <v>44</v>
      </c>
      <c r="AJ381">
        <v>1</v>
      </c>
      <c r="AK381">
        <v>40</v>
      </c>
      <c r="AL381" t="s">
        <v>167</v>
      </c>
      <c r="AM381" t="s">
        <v>168</v>
      </c>
      <c r="AN381" t="s">
        <v>169</v>
      </c>
      <c r="AO381" t="s">
        <v>5974</v>
      </c>
      <c r="AP381" t="s">
        <v>5995</v>
      </c>
      <c r="AQ381" t="s">
        <v>74</v>
      </c>
      <c r="AR381" t="s">
        <v>5975</v>
      </c>
      <c r="AS381" t="s">
        <v>5976</v>
      </c>
      <c r="AT381" t="s">
        <v>74</v>
      </c>
      <c r="AU381">
        <v>2008</v>
      </c>
      <c r="AV381">
        <v>358</v>
      </c>
      <c r="AW381" t="s">
        <v>74</v>
      </c>
      <c r="AX381" t="s">
        <v>74</v>
      </c>
      <c r="AY381" t="s">
        <v>74</v>
      </c>
      <c r="AZ381" t="s">
        <v>74</v>
      </c>
      <c r="BA381" t="s">
        <v>74</v>
      </c>
      <c r="BB381">
        <v>191</v>
      </c>
      <c r="BC381">
        <v>202</v>
      </c>
      <c r="BD381" t="s">
        <v>74</v>
      </c>
      <c r="BE381" t="s">
        <v>6483</v>
      </c>
      <c r="BF381" t="str">
        <f>HYPERLINK("http://dx.doi.org/10.3354/meps07350","http://dx.doi.org/10.3354/meps07350")</f>
        <v>http://dx.doi.org/10.3354/meps07350</v>
      </c>
      <c r="BG381" t="s">
        <v>74</v>
      </c>
      <c r="BH381" t="s">
        <v>74</v>
      </c>
      <c r="BI381">
        <v>12</v>
      </c>
      <c r="BJ381" t="s">
        <v>5978</v>
      </c>
      <c r="BK381" t="s">
        <v>97</v>
      </c>
      <c r="BL381" t="s">
        <v>5979</v>
      </c>
      <c r="BM381" t="s">
        <v>6470</v>
      </c>
      <c r="BN381" t="s">
        <v>74</v>
      </c>
      <c r="BO381" t="s">
        <v>179</v>
      </c>
      <c r="BP381" t="s">
        <v>74</v>
      </c>
      <c r="BQ381" t="s">
        <v>74</v>
      </c>
      <c r="BR381" t="s">
        <v>100</v>
      </c>
      <c r="BS381" t="s">
        <v>6484</v>
      </c>
      <c r="BT381" t="str">
        <f>HYPERLINK("https%3A%2F%2Fwww.webofscience.com%2Fwos%2Fwoscc%2Ffull-record%2FWOS:000256228300018","View Full Record in Web of Science")</f>
        <v>View Full Record in Web of Science</v>
      </c>
    </row>
    <row r="382" spans="1:72" x14ac:dyDescent="0.15">
      <c r="A382" t="s">
        <v>72</v>
      </c>
      <c r="B382" t="s">
        <v>6485</v>
      </c>
      <c r="C382" t="s">
        <v>74</v>
      </c>
      <c r="D382" t="s">
        <v>74</v>
      </c>
      <c r="E382" t="s">
        <v>74</v>
      </c>
      <c r="F382" t="s">
        <v>6486</v>
      </c>
      <c r="G382" t="s">
        <v>74</v>
      </c>
      <c r="H382" t="s">
        <v>74</v>
      </c>
      <c r="I382" t="s">
        <v>6487</v>
      </c>
      <c r="J382" t="s">
        <v>5961</v>
      </c>
      <c r="K382" t="s">
        <v>74</v>
      </c>
      <c r="L382" t="s">
        <v>74</v>
      </c>
      <c r="M382" t="s">
        <v>78</v>
      </c>
      <c r="N382" t="s">
        <v>79</v>
      </c>
      <c r="O382" t="s">
        <v>74</v>
      </c>
      <c r="P382" t="s">
        <v>74</v>
      </c>
      <c r="Q382" t="s">
        <v>74</v>
      </c>
      <c r="R382" t="s">
        <v>74</v>
      </c>
      <c r="S382" t="s">
        <v>74</v>
      </c>
      <c r="T382" t="s">
        <v>6488</v>
      </c>
      <c r="U382" t="s">
        <v>6489</v>
      </c>
      <c r="V382" t="s">
        <v>6490</v>
      </c>
      <c r="W382" t="s">
        <v>6491</v>
      </c>
      <c r="X382" t="s">
        <v>6492</v>
      </c>
      <c r="Y382" t="s">
        <v>6493</v>
      </c>
      <c r="Z382" t="s">
        <v>6494</v>
      </c>
      <c r="AA382" t="s">
        <v>6495</v>
      </c>
      <c r="AB382" t="s">
        <v>6496</v>
      </c>
      <c r="AC382" t="s">
        <v>74</v>
      </c>
      <c r="AD382" t="s">
        <v>74</v>
      </c>
      <c r="AE382" t="s">
        <v>74</v>
      </c>
      <c r="AF382" t="s">
        <v>74</v>
      </c>
      <c r="AG382">
        <v>57</v>
      </c>
      <c r="AH382">
        <v>34</v>
      </c>
      <c r="AI382">
        <v>37</v>
      </c>
      <c r="AJ382">
        <v>0</v>
      </c>
      <c r="AK382">
        <v>15</v>
      </c>
      <c r="AL382" t="s">
        <v>167</v>
      </c>
      <c r="AM382" t="s">
        <v>168</v>
      </c>
      <c r="AN382" t="s">
        <v>169</v>
      </c>
      <c r="AO382" t="s">
        <v>5974</v>
      </c>
      <c r="AP382" t="s">
        <v>74</v>
      </c>
      <c r="AQ382" t="s">
        <v>74</v>
      </c>
      <c r="AR382" t="s">
        <v>5975</v>
      </c>
      <c r="AS382" t="s">
        <v>5976</v>
      </c>
      <c r="AT382" t="s">
        <v>74</v>
      </c>
      <c r="AU382">
        <v>2008</v>
      </c>
      <c r="AV382">
        <v>358</v>
      </c>
      <c r="AW382" t="s">
        <v>74</v>
      </c>
      <c r="AX382" t="s">
        <v>74</v>
      </c>
      <c r="AY382" t="s">
        <v>74</v>
      </c>
      <c r="AZ382" t="s">
        <v>74</v>
      </c>
      <c r="BA382" t="s">
        <v>74</v>
      </c>
      <c r="BB382">
        <v>273</v>
      </c>
      <c r="BC382">
        <v>287</v>
      </c>
      <c r="BD382" t="s">
        <v>74</v>
      </c>
      <c r="BE382" t="s">
        <v>6497</v>
      </c>
      <c r="BF382" t="str">
        <f>HYPERLINK("http://dx.doi.org/10.3354/meps07305","http://dx.doi.org/10.3354/meps07305")</f>
        <v>http://dx.doi.org/10.3354/meps07305</v>
      </c>
      <c r="BG382" t="s">
        <v>74</v>
      </c>
      <c r="BH382" t="s">
        <v>74</v>
      </c>
      <c r="BI382">
        <v>15</v>
      </c>
      <c r="BJ382" t="s">
        <v>5978</v>
      </c>
      <c r="BK382" t="s">
        <v>97</v>
      </c>
      <c r="BL382" t="s">
        <v>5979</v>
      </c>
      <c r="BM382" t="s">
        <v>6470</v>
      </c>
      <c r="BN382" t="s">
        <v>74</v>
      </c>
      <c r="BO382" t="s">
        <v>5415</v>
      </c>
      <c r="BP382" t="s">
        <v>74</v>
      </c>
      <c r="BQ382" t="s">
        <v>74</v>
      </c>
      <c r="BR382" t="s">
        <v>100</v>
      </c>
      <c r="BS382" t="s">
        <v>6498</v>
      </c>
      <c r="BT382" t="str">
        <f>HYPERLINK("https%3A%2F%2Fwww.webofscience.com%2Fwos%2Fwoscc%2Ffull-record%2FWOS:000256228300025","View Full Record in Web of Science")</f>
        <v>View Full Record in Web of Science</v>
      </c>
    </row>
    <row r="383" spans="1:72" x14ac:dyDescent="0.15">
      <c r="A383" t="s">
        <v>72</v>
      </c>
      <c r="B383" t="s">
        <v>6499</v>
      </c>
      <c r="C383" t="s">
        <v>74</v>
      </c>
      <c r="D383" t="s">
        <v>74</v>
      </c>
      <c r="E383" t="s">
        <v>74</v>
      </c>
      <c r="F383" t="s">
        <v>6500</v>
      </c>
      <c r="G383" t="s">
        <v>74</v>
      </c>
      <c r="H383" t="s">
        <v>74</v>
      </c>
      <c r="I383" t="s">
        <v>6501</v>
      </c>
      <c r="J383" t="s">
        <v>5961</v>
      </c>
      <c r="K383" t="s">
        <v>74</v>
      </c>
      <c r="L383" t="s">
        <v>74</v>
      </c>
      <c r="M383" t="s">
        <v>78</v>
      </c>
      <c r="N383" t="s">
        <v>79</v>
      </c>
      <c r="O383" t="s">
        <v>74</v>
      </c>
      <c r="P383" t="s">
        <v>74</v>
      </c>
      <c r="Q383" t="s">
        <v>74</v>
      </c>
      <c r="R383" t="s">
        <v>74</v>
      </c>
      <c r="S383" t="s">
        <v>74</v>
      </c>
      <c r="T383" t="s">
        <v>6502</v>
      </c>
      <c r="U383" t="s">
        <v>6503</v>
      </c>
      <c r="V383" t="s">
        <v>6504</v>
      </c>
      <c r="W383" t="s">
        <v>6505</v>
      </c>
      <c r="X383" t="s">
        <v>6506</v>
      </c>
      <c r="Y383" t="s">
        <v>6507</v>
      </c>
      <c r="Z383" t="s">
        <v>6508</v>
      </c>
      <c r="AA383" t="s">
        <v>74</v>
      </c>
      <c r="AB383" t="s">
        <v>6509</v>
      </c>
      <c r="AC383" t="s">
        <v>74</v>
      </c>
      <c r="AD383" t="s">
        <v>74</v>
      </c>
      <c r="AE383" t="s">
        <v>74</v>
      </c>
      <c r="AF383" t="s">
        <v>74</v>
      </c>
      <c r="AG383">
        <v>26</v>
      </c>
      <c r="AH383">
        <v>9</v>
      </c>
      <c r="AI383">
        <v>12</v>
      </c>
      <c r="AJ383">
        <v>2</v>
      </c>
      <c r="AK383">
        <v>20</v>
      </c>
      <c r="AL383" t="s">
        <v>167</v>
      </c>
      <c r="AM383" t="s">
        <v>168</v>
      </c>
      <c r="AN383" t="s">
        <v>169</v>
      </c>
      <c r="AO383" t="s">
        <v>5974</v>
      </c>
      <c r="AP383" t="s">
        <v>74</v>
      </c>
      <c r="AQ383" t="s">
        <v>74</v>
      </c>
      <c r="AR383" t="s">
        <v>5975</v>
      </c>
      <c r="AS383" t="s">
        <v>5976</v>
      </c>
      <c r="AT383" t="s">
        <v>74</v>
      </c>
      <c r="AU383">
        <v>2008</v>
      </c>
      <c r="AV383">
        <v>357</v>
      </c>
      <c r="AW383" t="s">
        <v>74</v>
      </c>
      <c r="AX383" t="s">
        <v>74</v>
      </c>
      <c r="AY383" t="s">
        <v>74</v>
      </c>
      <c r="AZ383" t="s">
        <v>74</v>
      </c>
      <c r="BA383" t="s">
        <v>74</v>
      </c>
      <c r="BB383">
        <v>195</v>
      </c>
      <c r="BC383">
        <v>206</v>
      </c>
      <c r="BD383" t="s">
        <v>74</v>
      </c>
      <c r="BE383" t="s">
        <v>6510</v>
      </c>
      <c r="BF383" t="str">
        <f>HYPERLINK("http://dx.doi.org/10.3354/meps07262","http://dx.doi.org/10.3354/meps07262")</f>
        <v>http://dx.doi.org/10.3354/meps07262</v>
      </c>
      <c r="BG383" t="s">
        <v>74</v>
      </c>
      <c r="BH383" t="s">
        <v>74</v>
      </c>
      <c r="BI383">
        <v>12</v>
      </c>
      <c r="BJ383" t="s">
        <v>5978</v>
      </c>
      <c r="BK383" t="s">
        <v>97</v>
      </c>
      <c r="BL383" t="s">
        <v>5979</v>
      </c>
      <c r="BM383" t="s">
        <v>6511</v>
      </c>
      <c r="BN383" t="s">
        <v>74</v>
      </c>
      <c r="BO383" t="s">
        <v>610</v>
      </c>
      <c r="BP383" t="s">
        <v>74</v>
      </c>
      <c r="BQ383" t="s">
        <v>74</v>
      </c>
      <c r="BR383" t="s">
        <v>100</v>
      </c>
      <c r="BS383" t="s">
        <v>6512</v>
      </c>
      <c r="BT383" t="str">
        <f>HYPERLINK("https%3A%2F%2Fwww.webofscience.com%2Fwos%2Fwoscc%2Ffull-record%2FWOS:000255573100017","View Full Record in Web of Science")</f>
        <v>View Full Record in Web of Science</v>
      </c>
    </row>
    <row r="384" spans="1:72" x14ac:dyDescent="0.15">
      <c r="A384" t="s">
        <v>72</v>
      </c>
      <c r="B384" t="s">
        <v>6513</v>
      </c>
      <c r="C384" t="s">
        <v>74</v>
      </c>
      <c r="D384" t="s">
        <v>74</v>
      </c>
      <c r="E384" t="s">
        <v>74</v>
      </c>
      <c r="F384" t="s">
        <v>6514</v>
      </c>
      <c r="G384" t="s">
        <v>74</v>
      </c>
      <c r="H384" t="s">
        <v>74</v>
      </c>
      <c r="I384" t="s">
        <v>6515</v>
      </c>
      <c r="J384" t="s">
        <v>5961</v>
      </c>
      <c r="K384" t="s">
        <v>74</v>
      </c>
      <c r="L384" t="s">
        <v>74</v>
      </c>
      <c r="M384" t="s">
        <v>78</v>
      </c>
      <c r="N384" t="s">
        <v>79</v>
      </c>
      <c r="O384" t="s">
        <v>74</v>
      </c>
      <c r="P384" t="s">
        <v>74</v>
      </c>
      <c r="Q384" t="s">
        <v>74</v>
      </c>
      <c r="R384" t="s">
        <v>74</v>
      </c>
      <c r="S384" t="s">
        <v>74</v>
      </c>
      <c r="T384" t="s">
        <v>6516</v>
      </c>
      <c r="U384" t="s">
        <v>6517</v>
      </c>
      <c r="V384" t="s">
        <v>6518</v>
      </c>
      <c r="W384" t="s">
        <v>6519</v>
      </c>
      <c r="X384" t="s">
        <v>6520</v>
      </c>
      <c r="Y384" t="s">
        <v>6521</v>
      </c>
      <c r="Z384" t="s">
        <v>6522</v>
      </c>
      <c r="AA384" t="s">
        <v>6523</v>
      </c>
      <c r="AB384" t="s">
        <v>6524</v>
      </c>
      <c r="AC384" t="s">
        <v>2597</v>
      </c>
      <c r="AD384" t="s">
        <v>242</v>
      </c>
      <c r="AE384" t="s">
        <v>74</v>
      </c>
      <c r="AF384" t="s">
        <v>74</v>
      </c>
      <c r="AG384">
        <v>45</v>
      </c>
      <c r="AH384">
        <v>21</v>
      </c>
      <c r="AI384">
        <v>22</v>
      </c>
      <c r="AJ384">
        <v>0</v>
      </c>
      <c r="AK384">
        <v>21</v>
      </c>
      <c r="AL384" t="s">
        <v>167</v>
      </c>
      <c r="AM384" t="s">
        <v>168</v>
      </c>
      <c r="AN384" t="s">
        <v>169</v>
      </c>
      <c r="AO384" t="s">
        <v>5974</v>
      </c>
      <c r="AP384" t="s">
        <v>5995</v>
      </c>
      <c r="AQ384" t="s">
        <v>74</v>
      </c>
      <c r="AR384" t="s">
        <v>5975</v>
      </c>
      <c r="AS384" t="s">
        <v>5976</v>
      </c>
      <c r="AT384" t="s">
        <v>74</v>
      </c>
      <c r="AU384">
        <v>2008</v>
      </c>
      <c r="AV384">
        <v>356</v>
      </c>
      <c r="AW384" t="s">
        <v>74</v>
      </c>
      <c r="AX384" t="s">
        <v>74</v>
      </c>
      <c r="AY384" t="s">
        <v>74</v>
      </c>
      <c r="AZ384" t="s">
        <v>74</v>
      </c>
      <c r="BA384" t="s">
        <v>74</v>
      </c>
      <c r="BB384">
        <v>225</v>
      </c>
      <c r="BC384">
        <v>237</v>
      </c>
      <c r="BD384" t="s">
        <v>74</v>
      </c>
      <c r="BE384" t="s">
        <v>6525</v>
      </c>
      <c r="BF384" t="str">
        <f>HYPERLINK("http://dx.doi.org/10.3354/meps07270","http://dx.doi.org/10.3354/meps07270")</f>
        <v>http://dx.doi.org/10.3354/meps07270</v>
      </c>
      <c r="BG384" t="s">
        <v>74</v>
      </c>
      <c r="BH384" t="s">
        <v>74</v>
      </c>
      <c r="BI384">
        <v>13</v>
      </c>
      <c r="BJ384" t="s">
        <v>5978</v>
      </c>
      <c r="BK384" t="s">
        <v>97</v>
      </c>
      <c r="BL384" t="s">
        <v>5979</v>
      </c>
      <c r="BM384" t="s">
        <v>6526</v>
      </c>
      <c r="BN384" t="s">
        <v>74</v>
      </c>
      <c r="BO384" t="s">
        <v>592</v>
      </c>
      <c r="BP384" t="s">
        <v>74</v>
      </c>
      <c r="BQ384" t="s">
        <v>74</v>
      </c>
      <c r="BR384" t="s">
        <v>100</v>
      </c>
      <c r="BS384" t="s">
        <v>6527</v>
      </c>
      <c r="BT384" t="str">
        <f>HYPERLINK("https%3A%2F%2Fwww.webofscience.com%2Fwos%2Fwoscc%2Ffull-record%2FWOS:000254963900019","View Full Record in Web of Science")</f>
        <v>View Full Record in Web of Science</v>
      </c>
    </row>
    <row r="385" spans="1:72" x14ac:dyDescent="0.15">
      <c r="A385" t="s">
        <v>72</v>
      </c>
      <c r="B385" t="s">
        <v>6528</v>
      </c>
      <c r="C385" t="s">
        <v>74</v>
      </c>
      <c r="D385" t="s">
        <v>74</v>
      </c>
      <c r="E385" t="s">
        <v>74</v>
      </c>
      <c r="F385" t="s">
        <v>6529</v>
      </c>
      <c r="G385" t="s">
        <v>74</v>
      </c>
      <c r="H385" t="s">
        <v>74</v>
      </c>
      <c r="I385" t="s">
        <v>6530</v>
      </c>
      <c r="J385" t="s">
        <v>5961</v>
      </c>
      <c r="K385" t="s">
        <v>74</v>
      </c>
      <c r="L385" t="s">
        <v>74</v>
      </c>
      <c r="M385" t="s">
        <v>78</v>
      </c>
      <c r="N385" t="s">
        <v>79</v>
      </c>
      <c r="O385" t="s">
        <v>74</v>
      </c>
      <c r="P385" t="s">
        <v>74</v>
      </c>
      <c r="Q385" t="s">
        <v>74</v>
      </c>
      <c r="R385" t="s">
        <v>74</v>
      </c>
      <c r="S385" t="s">
        <v>74</v>
      </c>
      <c r="T385" t="s">
        <v>6531</v>
      </c>
      <c r="U385" t="s">
        <v>6532</v>
      </c>
      <c r="V385" t="s">
        <v>6533</v>
      </c>
      <c r="W385" t="s">
        <v>6534</v>
      </c>
      <c r="X385" t="s">
        <v>440</v>
      </c>
      <c r="Y385" t="s">
        <v>6535</v>
      </c>
      <c r="Z385" t="s">
        <v>6536</v>
      </c>
      <c r="AA385" t="s">
        <v>6537</v>
      </c>
      <c r="AB385" t="s">
        <v>6538</v>
      </c>
      <c r="AC385" t="s">
        <v>6539</v>
      </c>
      <c r="AD385" t="s">
        <v>444</v>
      </c>
      <c r="AE385" t="s">
        <v>74</v>
      </c>
      <c r="AF385" t="s">
        <v>74</v>
      </c>
      <c r="AG385">
        <v>47</v>
      </c>
      <c r="AH385">
        <v>30</v>
      </c>
      <c r="AI385">
        <v>34</v>
      </c>
      <c r="AJ385">
        <v>1</v>
      </c>
      <c r="AK385">
        <v>18</v>
      </c>
      <c r="AL385" t="s">
        <v>167</v>
      </c>
      <c r="AM385" t="s">
        <v>168</v>
      </c>
      <c r="AN385" t="s">
        <v>169</v>
      </c>
      <c r="AO385" t="s">
        <v>5974</v>
      </c>
      <c r="AP385" t="s">
        <v>5995</v>
      </c>
      <c r="AQ385" t="s">
        <v>74</v>
      </c>
      <c r="AR385" t="s">
        <v>5975</v>
      </c>
      <c r="AS385" t="s">
        <v>5976</v>
      </c>
      <c r="AT385" t="s">
        <v>74</v>
      </c>
      <c r="AU385">
        <v>2008</v>
      </c>
      <c r="AV385">
        <v>355</v>
      </c>
      <c r="AW385" t="s">
        <v>74</v>
      </c>
      <c r="AX385" t="s">
        <v>74</v>
      </c>
      <c r="AY385" t="s">
        <v>74</v>
      </c>
      <c r="AZ385" t="s">
        <v>74</v>
      </c>
      <c r="BA385" t="s">
        <v>74</v>
      </c>
      <c r="BB385">
        <v>85</v>
      </c>
      <c r="BC385">
        <v>94</v>
      </c>
      <c r="BD385" t="s">
        <v>74</v>
      </c>
      <c r="BE385" t="s">
        <v>6540</v>
      </c>
      <c r="BF385" t="str">
        <f>HYPERLINK("http://dx.doi.org/10.3354/meps07311","http://dx.doi.org/10.3354/meps07311")</f>
        <v>http://dx.doi.org/10.3354/meps07311</v>
      </c>
      <c r="BG385" t="s">
        <v>74</v>
      </c>
      <c r="BH385" t="s">
        <v>74</v>
      </c>
      <c r="BI385">
        <v>10</v>
      </c>
      <c r="BJ385" t="s">
        <v>5978</v>
      </c>
      <c r="BK385" t="s">
        <v>97</v>
      </c>
      <c r="BL385" t="s">
        <v>5979</v>
      </c>
      <c r="BM385" t="s">
        <v>6541</v>
      </c>
      <c r="BN385" t="s">
        <v>74</v>
      </c>
      <c r="BO385" t="s">
        <v>6542</v>
      </c>
      <c r="BP385" t="s">
        <v>74</v>
      </c>
      <c r="BQ385" t="s">
        <v>74</v>
      </c>
      <c r="BR385" t="s">
        <v>100</v>
      </c>
      <c r="BS385" t="s">
        <v>6543</v>
      </c>
      <c r="BT385" t="str">
        <f>HYPERLINK("https%3A%2F%2Fwww.webofscience.com%2Fwos%2Fwoscc%2Ffull-record%2FWOS:000254433000008","View Full Record in Web of Science")</f>
        <v>View Full Record in Web of Science</v>
      </c>
    </row>
    <row r="386" spans="1:72" x14ac:dyDescent="0.15">
      <c r="A386" t="s">
        <v>72</v>
      </c>
      <c r="B386" t="s">
        <v>6544</v>
      </c>
      <c r="C386" t="s">
        <v>74</v>
      </c>
      <c r="D386" t="s">
        <v>74</v>
      </c>
      <c r="E386" t="s">
        <v>74</v>
      </c>
      <c r="F386" t="s">
        <v>6545</v>
      </c>
      <c r="G386" t="s">
        <v>74</v>
      </c>
      <c r="H386" t="s">
        <v>74</v>
      </c>
      <c r="I386" t="s">
        <v>6546</v>
      </c>
      <c r="J386" t="s">
        <v>5961</v>
      </c>
      <c r="K386" t="s">
        <v>74</v>
      </c>
      <c r="L386" t="s">
        <v>74</v>
      </c>
      <c r="M386" t="s">
        <v>78</v>
      </c>
      <c r="N386" t="s">
        <v>79</v>
      </c>
      <c r="O386" t="s">
        <v>74</v>
      </c>
      <c r="P386" t="s">
        <v>74</v>
      </c>
      <c r="Q386" t="s">
        <v>74</v>
      </c>
      <c r="R386" t="s">
        <v>74</v>
      </c>
      <c r="S386" t="s">
        <v>74</v>
      </c>
      <c r="T386" t="s">
        <v>6547</v>
      </c>
      <c r="U386" t="s">
        <v>6548</v>
      </c>
      <c r="V386" t="s">
        <v>6549</v>
      </c>
      <c r="W386" t="s">
        <v>6550</v>
      </c>
      <c r="X386" t="s">
        <v>6551</v>
      </c>
      <c r="Y386" t="s">
        <v>6552</v>
      </c>
      <c r="Z386" t="s">
        <v>6553</v>
      </c>
      <c r="AA386" t="s">
        <v>6554</v>
      </c>
      <c r="AB386" t="s">
        <v>6273</v>
      </c>
      <c r="AC386" t="s">
        <v>74</v>
      </c>
      <c r="AD386" t="s">
        <v>74</v>
      </c>
      <c r="AE386" t="s">
        <v>74</v>
      </c>
      <c r="AF386" t="s">
        <v>74</v>
      </c>
      <c r="AG386">
        <v>45</v>
      </c>
      <c r="AH386">
        <v>54</v>
      </c>
      <c r="AI386">
        <v>59</v>
      </c>
      <c r="AJ386">
        <v>1</v>
      </c>
      <c r="AK386">
        <v>26</v>
      </c>
      <c r="AL386" t="s">
        <v>167</v>
      </c>
      <c r="AM386" t="s">
        <v>168</v>
      </c>
      <c r="AN386" t="s">
        <v>169</v>
      </c>
      <c r="AO386" t="s">
        <v>5974</v>
      </c>
      <c r="AP386" t="s">
        <v>5995</v>
      </c>
      <c r="AQ386" t="s">
        <v>74</v>
      </c>
      <c r="AR386" t="s">
        <v>5975</v>
      </c>
      <c r="AS386" t="s">
        <v>5976</v>
      </c>
      <c r="AT386" t="s">
        <v>74</v>
      </c>
      <c r="AU386">
        <v>2008</v>
      </c>
      <c r="AV386">
        <v>355</v>
      </c>
      <c r="AW386" t="s">
        <v>74</v>
      </c>
      <c r="AX386" t="s">
        <v>74</v>
      </c>
      <c r="AY386" t="s">
        <v>74</v>
      </c>
      <c r="AZ386" t="s">
        <v>74</v>
      </c>
      <c r="BA386" t="s">
        <v>74</v>
      </c>
      <c r="BB386">
        <v>297</v>
      </c>
      <c r="BC386">
        <v>307</v>
      </c>
      <c r="BD386" t="s">
        <v>74</v>
      </c>
      <c r="BE386" t="s">
        <v>6555</v>
      </c>
      <c r="BF386" t="str">
        <f>HYPERLINK("http://dx.doi.org/10.3354/meps07235","http://dx.doi.org/10.3354/meps07235")</f>
        <v>http://dx.doi.org/10.3354/meps07235</v>
      </c>
      <c r="BG386" t="s">
        <v>74</v>
      </c>
      <c r="BH386" t="s">
        <v>74</v>
      </c>
      <c r="BI386">
        <v>11</v>
      </c>
      <c r="BJ386" t="s">
        <v>5978</v>
      </c>
      <c r="BK386" t="s">
        <v>97</v>
      </c>
      <c r="BL386" t="s">
        <v>5979</v>
      </c>
      <c r="BM386" t="s">
        <v>6541</v>
      </c>
      <c r="BN386" t="s">
        <v>74</v>
      </c>
      <c r="BO386" t="s">
        <v>6542</v>
      </c>
      <c r="BP386" t="s">
        <v>74</v>
      </c>
      <c r="BQ386" t="s">
        <v>74</v>
      </c>
      <c r="BR386" t="s">
        <v>100</v>
      </c>
      <c r="BS386" t="s">
        <v>6556</v>
      </c>
      <c r="BT386" t="str">
        <f>HYPERLINK("https%3A%2F%2Fwww.webofscience.com%2Fwos%2Fwoscc%2Ffull-record%2FWOS:000254433000025","View Full Record in Web of Science")</f>
        <v>View Full Record in Web of Science</v>
      </c>
    </row>
    <row r="387" spans="1:72" x14ac:dyDescent="0.15">
      <c r="A387" t="s">
        <v>72</v>
      </c>
      <c r="B387" t="s">
        <v>6557</v>
      </c>
      <c r="C387" t="s">
        <v>74</v>
      </c>
      <c r="D387" t="s">
        <v>74</v>
      </c>
      <c r="E387" t="s">
        <v>74</v>
      </c>
      <c r="F387" t="s">
        <v>6558</v>
      </c>
      <c r="G387" t="s">
        <v>74</v>
      </c>
      <c r="H387" t="s">
        <v>74</v>
      </c>
      <c r="I387" t="s">
        <v>6559</v>
      </c>
      <c r="J387" t="s">
        <v>5961</v>
      </c>
      <c r="K387" t="s">
        <v>74</v>
      </c>
      <c r="L387" t="s">
        <v>74</v>
      </c>
      <c r="M387" t="s">
        <v>78</v>
      </c>
      <c r="N387" t="s">
        <v>79</v>
      </c>
      <c r="O387" t="s">
        <v>74</v>
      </c>
      <c r="P387" t="s">
        <v>74</v>
      </c>
      <c r="Q387" t="s">
        <v>74</v>
      </c>
      <c r="R387" t="s">
        <v>74</v>
      </c>
      <c r="S387" t="s">
        <v>74</v>
      </c>
      <c r="T387" t="s">
        <v>6560</v>
      </c>
      <c r="U387" t="s">
        <v>6561</v>
      </c>
      <c r="V387" t="s">
        <v>6562</v>
      </c>
      <c r="W387" t="s">
        <v>6563</v>
      </c>
      <c r="X387" t="s">
        <v>6564</v>
      </c>
      <c r="Y387" t="s">
        <v>6565</v>
      </c>
      <c r="Z387" t="s">
        <v>6566</v>
      </c>
      <c r="AA387" t="s">
        <v>6567</v>
      </c>
      <c r="AB387" t="s">
        <v>6568</v>
      </c>
      <c r="AC387" t="s">
        <v>74</v>
      </c>
      <c r="AD387" t="s">
        <v>74</v>
      </c>
      <c r="AE387" t="s">
        <v>74</v>
      </c>
      <c r="AF387" t="s">
        <v>74</v>
      </c>
      <c r="AG387">
        <v>40</v>
      </c>
      <c r="AH387">
        <v>28</v>
      </c>
      <c r="AI387">
        <v>32</v>
      </c>
      <c r="AJ387">
        <v>1</v>
      </c>
      <c r="AK387">
        <v>26</v>
      </c>
      <c r="AL387" t="s">
        <v>167</v>
      </c>
      <c r="AM387" t="s">
        <v>168</v>
      </c>
      <c r="AN387" t="s">
        <v>169</v>
      </c>
      <c r="AO387" t="s">
        <v>5974</v>
      </c>
      <c r="AP387" t="s">
        <v>5995</v>
      </c>
      <c r="AQ387" t="s">
        <v>74</v>
      </c>
      <c r="AR387" t="s">
        <v>5975</v>
      </c>
      <c r="AS387" t="s">
        <v>5976</v>
      </c>
      <c r="AT387" t="s">
        <v>74</v>
      </c>
      <c r="AU387">
        <v>2008</v>
      </c>
      <c r="AV387">
        <v>354</v>
      </c>
      <c r="AW387" t="s">
        <v>74</v>
      </c>
      <c r="AX387" t="s">
        <v>74</v>
      </c>
      <c r="AY387" t="s">
        <v>74</v>
      </c>
      <c r="AZ387" t="s">
        <v>74</v>
      </c>
      <c r="BA387" t="s">
        <v>74</v>
      </c>
      <c r="BB387">
        <v>107</v>
      </c>
      <c r="BC387">
        <v>117</v>
      </c>
      <c r="BD387" t="s">
        <v>74</v>
      </c>
      <c r="BE387" t="s">
        <v>6569</v>
      </c>
      <c r="BF387" t="str">
        <f>HYPERLINK("http://dx.doi.org/10.3354/meps07243","http://dx.doi.org/10.3354/meps07243")</f>
        <v>http://dx.doi.org/10.3354/meps07243</v>
      </c>
      <c r="BG387" t="s">
        <v>74</v>
      </c>
      <c r="BH387" t="s">
        <v>74</v>
      </c>
      <c r="BI387">
        <v>11</v>
      </c>
      <c r="BJ387" t="s">
        <v>5978</v>
      </c>
      <c r="BK387" t="s">
        <v>97</v>
      </c>
      <c r="BL387" t="s">
        <v>5979</v>
      </c>
      <c r="BM387" t="s">
        <v>6570</v>
      </c>
      <c r="BN387" t="s">
        <v>74</v>
      </c>
      <c r="BO387" t="s">
        <v>179</v>
      </c>
      <c r="BP387" t="s">
        <v>74</v>
      </c>
      <c r="BQ387" t="s">
        <v>74</v>
      </c>
      <c r="BR387" t="s">
        <v>100</v>
      </c>
      <c r="BS387" t="s">
        <v>6571</v>
      </c>
      <c r="BT387" t="str">
        <f>HYPERLINK("https%3A%2F%2Fwww.webofscience.com%2Fwos%2Fwoscc%2Ffull-record%2FWOS:000253609500010","View Full Record in Web of Science")</f>
        <v>View Full Record in Web of Science</v>
      </c>
    </row>
    <row r="388" spans="1:72" x14ac:dyDescent="0.15">
      <c r="A388" t="s">
        <v>72</v>
      </c>
      <c r="B388" t="s">
        <v>6572</v>
      </c>
      <c r="C388" t="s">
        <v>74</v>
      </c>
      <c r="D388" t="s">
        <v>74</v>
      </c>
      <c r="E388" t="s">
        <v>74</v>
      </c>
      <c r="F388" t="s">
        <v>6573</v>
      </c>
      <c r="G388" t="s">
        <v>74</v>
      </c>
      <c r="H388" t="s">
        <v>74</v>
      </c>
      <c r="I388" t="s">
        <v>6574</v>
      </c>
      <c r="J388" t="s">
        <v>6575</v>
      </c>
      <c r="K388" t="s">
        <v>74</v>
      </c>
      <c r="L388" t="s">
        <v>74</v>
      </c>
      <c r="M388" t="s">
        <v>78</v>
      </c>
      <c r="N388" t="s">
        <v>79</v>
      </c>
      <c r="O388" t="s">
        <v>74</v>
      </c>
      <c r="P388" t="s">
        <v>74</v>
      </c>
      <c r="Q388" t="s">
        <v>74</v>
      </c>
      <c r="R388" t="s">
        <v>74</v>
      </c>
      <c r="S388" t="s">
        <v>74</v>
      </c>
      <c r="T388" t="s">
        <v>6576</v>
      </c>
      <c r="U388" t="s">
        <v>6577</v>
      </c>
      <c r="V388" t="s">
        <v>6578</v>
      </c>
      <c r="W388" t="s">
        <v>6579</v>
      </c>
      <c r="X388" t="s">
        <v>4992</v>
      </c>
      <c r="Y388" t="s">
        <v>6580</v>
      </c>
      <c r="Z388" t="s">
        <v>6581</v>
      </c>
      <c r="AA388" t="s">
        <v>6582</v>
      </c>
      <c r="AB388" t="s">
        <v>6583</v>
      </c>
      <c r="AC388" t="s">
        <v>74</v>
      </c>
      <c r="AD388" t="s">
        <v>74</v>
      </c>
      <c r="AE388" t="s">
        <v>74</v>
      </c>
      <c r="AF388" t="s">
        <v>74</v>
      </c>
      <c r="AG388">
        <v>21</v>
      </c>
      <c r="AH388">
        <v>1</v>
      </c>
      <c r="AI388">
        <v>1</v>
      </c>
      <c r="AJ388">
        <v>0</v>
      </c>
      <c r="AK388">
        <v>2</v>
      </c>
      <c r="AL388" t="s">
        <v>4386</v>
      </c>
      <c r="AM388" t="s">
        <v>4387</v>
      </c>
      <c r="AN388" t="s">
        <v>6584</v>
      </c>
      <c r="AO388" t="s">
        <v>6585</v>
      </c>
      <c r="AP388" t="s">
        <v>74</v>
      </c>
      <c r="AQ388" t="s">
        <v>74</v>
      </c>
      <c r="AR388" t="s">
        <v>6586</v>
      </c>
      <c r="AS388" t="s">
        <v>6587</v>
      </c>
      <c r="AT388" t="s">
        <v>6588</v>
      </c>
      <c r="AU388">
        <v>2008</v>
      </c>
      <c r="AV388">
        <v>31</v>
      </c>
      <c r="AW388">
        <v>1</v>
      </c>
      <c r="AX388" t="s">
        <v>74</v>
      </c>
      <c r="AY388" t="s">
        <v>74</v>
      </c>
      <c r="AZ388" t="s">
        <v>74</v>
      </c>
      <c r="BA388" t="s">
        <v>74</v>
      </c>
      <c r="BB388">
        <v>2</v>
      </c>
      <c r="BC388">
        <v>16</v>
      </c>
      <c r="BD388" t="s">
        <v>74</v>
      </c>
      <c r="BE388" t="s">
        <v>6589</v>
      </c>
      <c r="BF388" t="str">
        <f>HYPERLINK("http://dx.doi.org/10.1080/01490410701812212","http://dx.doi.org/10.1080/01490410701812212")</f>
        <v>http://dx.doi.org/10.1080/01490410701812212</v>
      </c>
      <c r="BG388" t="s">
        <v>74</v>
      </c>
      <c r="BH388" t="s">
        <v>74</v>
      </c>
      <c r="BI388">
        <v>15</v>
      </c>
      <c r="BJ388" t="s">
        <v>6590</v>
      </c>
      <c r="BK388" t="s">
        <v>97</v>
      </c>
      <c r="BL388" t="s">
        <v>6590</v>
      </c>
      <c r="BM388" t="s">
        <v>6591</v>
      </c>
      <c r="BN388" t="s">
        <v>74</v>
      </c>
      <c r="BO388" t="s">
        <v>74</v>
      </c>
      <c r="BP388" t="s">
        <v>74</v>
      </c>
      <c r="BQ388" t="s">
        <v>74</v>
      </c>
      <c r="BR388" t="s">
        <v>100</v>
      </c>
      <c r="BS388" t="s">
        <v>6592</v>
      </c>
      <c r="BT388" t="str">
        <f>HYPERLINK("https%3A%2F%2Fwww.webofscience.com%2Fwos%2Fwoscc%2Ffull-record%2FWOS:000253944300002","View Full Record in Web of Science")</f>
        <v>View Full Record in Web of Science</v>
      </c>
    </row>
    <row r="389" spans="1:72" x14ac:dyDescent="0.15">
      <c r="A389" t="s">
        <v>72</v>
      </c>
      <c r="B389" t="s">
        <v>6593</v>
      </c>
      <c r="C389" t="s">
        <v>74</v>
      </c>
      <c r="D389" t="s">
        <v>74</v>
      </c>
      <c r="E389" t="s">
        <v>74</v>
      </c>
      <c r="F389" t="s">
        <v>6594</v>
      </c>
      <c r="G389" t="s">
        <v>74</v>
      </c>
      <c r="H389" t="s">
        <v>74</v>
      </c>
      <c r="I389" t="s">
        <v>6595</v>
      </c>
      <c r="J389" t="s">
        <v>6596</v>
      </c>
      <c r="K389" t="s">
        <v>74</v>
      </c>
      <c r="L389" t="s">
        <v>74</v>
      </c>
      <c r="M389" t="s">
        <v>78</v>
      </c>
      <c r="N389" t="s">
        <v>79</v>
      </c>
      <c r="O389" t="s">
        <v>74</v>
      </c>
      <c r="P389" t="s">
        <v>74</v>
      </c>
      <c r="Q389" t="s">
        <v>74</v>
      </c>
      <c r="R389" t="s">
        <v>74</v>
      </c>
      <c r="S389" t="s">
        <v>74</v>
      </c>
      <c r="T389" t="s">
        <v>6597</v>
      </c>
      <c r="U389" t="s">
        <v>6598</v>
      </c>
      <c r="V389" t="s">
        <v>6599</v>
      </c>
      <c r="W389" t="s">
        <v>6600</v>
      </c>
      <c r="X389" t="s">
        <v>6601</v>
      </c>
      <c r="Y389" t="s">
        <v>6602</v>
      </c>
      <c r="Z389" t="s">
        <v>6603</v>
      </c>
      <c r="AA389" t="s">
        <v>74</v>
      </c>
      <c r="AB389" t="s">
        <v>6604</v>
      </c>
      <c r="AC389" t="s">
        <v>74</v>
      </c>
      <c r="AD389" t="s">
        <v>74</v>
      </c>
      <c r="AE389" t="s">
        <v>74</v>
      </c>
      <c r="AF389" t="s">
        <v>74</v>
      </c>
      <c r="AG389">
        <v>39</v>
      </c>
      <c r="AH389">
        <v>10</v>
      </c>
      <c r="AI389">
        <v>11</v>
      </c>
      <c r="AJ389">
        <v>2</v>
      </c>
      <c r="AK389">
        <v>26</v>
      </c>
      <c r="AL389" t="s">
        <v>1265</v>
      </c>
      <c r="AM389" t="s">
        <v>1317</v>
      </c>
      <c r="AN389" t="s">
        <v>2701</v>
      </c>
      <c r="AO389" t="s">
        <v>6605</v>
      </c>
      <c r="AP389" t="s">
        <v>6606</v>
      </c>
      <c r="AQ389" t="s">
        <v>74</v>
      </c>
      <c r="AR389" t="s">
        <v>6607</v>
      </c>
      <c r="AS389" t="s">
        <v>6608</v>
      </c>
      <c r="AT389" t="s">
        <v>1490</v>
      </c>
      <c r="AU389">
        <v>2008</v>
      </c>
      <c r="AV389">
        <v>29</v>
      </c>
      <c r="AW389">
        <v>1</v>
      </c>
      <c r="AX389" t="s">
        <v>74</v>
      </c>
      <c r="AY389" t="s">
        <v>74</v>
      </c>
      <c r="AZ389" t="s">
        <v>74</v>
      </c>
      <c r="BA389" t="s">
        <v>74</v>
      </c>
      <c r="BB389">
        <v>51</v>
      </c>
      <c r="BC389">
        <v>69</v>
      </c>
      <c r="BD389" t="s">
        <v>74</v>
      </c>
      <c r="BE389" t="s">
        <v>6609</v>
      </c>
      <c r="BF389" t="str">
        <f>HYPERLINK("http://dx.doi.org/10.1007/s11001-008-9045-x","http://dx.doi.org/10.1007/s11001-008-9045-x")</f>
        <v>http://dx.doi.org/10.1007/s11001-008-9045-x</v>
      </c>
      <c r="BG389" t="s">
        <v>74</v>
      </c>
      <c r="BH389" t="s">
        <v>74</v>
      </c>
      <c r="BI389">
        <v>19</v>
      </c>
      <c r="BJ389" t="s">
        <v>6610</v>
      </c>
      <c r="BK389" t="s">
        <v>97</v>
      </c>
      <c r="BL389" t="s">
        <v>6610</v>
      </c>
      <c r="BM389" t="s">
        <v>6611</v>
      </c>
      <c r="BN389" t="s">
        <v>74</v>
      </c>
      <c r="BO389" t="s">
        <v>74</v>
      </c>
      <c r="BP389" t="s">
        <v>74</v>
      </c>
      <c r="BQ389" t="s">
        <v>74</v>
      </c>
      <c r="BR389" t="s">
        <v>100</v>
      </c>
      <c r="BS389" t="s">
        <v>6612</v>
      </c>
      <c r="BT389" t="str">
        <f>HYPERLINK("https%3A%2F%2Fwww.webofscience.com%2Fwos%2Fwoscc%2Ffull-record%2FWOS:000256081100005","View Full Record in Web of Science")</f>
        <v>View Full Record in Web of Science</v>
      </c>
    </row>
    <row r="390" spans="1:72" x14ac:dyDescent="0.15">
      <c r="A390" t="s">
        <v>72</v>
      </c>
      <c r="B390" t="s">
        <v>6613</v>
      </c>
      <c r="C390" t="s">
        <v>74</v>
      </c>
      <c r="D390" t="s">
        <v>74</v>
      </c>
      <c r="E390" t="s">
        <v>74</v>
      </c>
      <c r="F390" t="s">
        <v>6614</v>
      </c>
      <c r="G390" t="s">
        <v>74</v>
      </c>
      <c r="H390" t="s">
        <v>74</v>
      </c>
      <c r="I390" t="s">
        <v>6615</v>
      </c>
      <c r="J390" t="s">
        <v>6616</v>
      </c>
      <c r="K390" t="s">
        <v>74</v>
      </c>
      <c r="L390" t="s">
        <v>74</v>
      </c>
      <c r="M390" t="s">
        <v>78</v>
      </c>
      <c r="N390" t="s">
        <v>79</v>
      </c>
      <c r="O390" t="s">
        <v>74</v>
      </c>
      <c r="P390" t="s">
        <v>74</v>
      </c>
      <c r="Q390" t="s">
        <v>74</v>
      </c>
      <c r="R390" t="s">
        <v>74</v>
      </c>
      <c r="S390" t="s">
        <v>74</v>
      </c>
      <c r="T390" t="s">
        <v>74</v>
      </c>
      <c r="U390" t="s">
        <v>6617</v>
      </c>
      <c r="V390" t="s">
        <v>74</v>
      </c>
      <c r="W390" t="s">
        <v>6618</v>
      </c>
      <c r="X390" t="s">
        <v>6619</v>
      </c>
      <c r="Y390" t="s">
        <v>6620</v>
      </c>
      <c r="Z390" t="s">
        <v>6621</v>
      </c>
      <c r="AA390" t="s">
        <v>6622</v>
      </c>
      <c r="AB390" t="s">
        <v>6623</v>
      </c>
      <c r="AC390" t="s">
        <v>74</v>
      </c>
      <c r="AD390" t="s">
        <v>74</v>
      </c>
      <c r="AE390" t="s">
        <v>74</v>
      </c>
      <c r="AF390" t="s">
        <v>74</v>
      </c>
      <c r="AG390">
        <v>36</v>
      </c>
      <c r="AH390">
        <v>30</v>
      </c>
      <c r="AI390">
        <v>36</v>
      </c>
      <c r="AJ390">
        <v>0</v>
      </c>
      <c r="AK390">
        <v>15</v>
      </c>
      <c r="AL390" t="s">
        <v>1219</v>
      </c>
      <c r="AM390" t="s">
        <v>89</v>
      </c>
      <c r="AN390" t="s">
        <v>90</v>
      </c>
      <c r="AO390" t="s">
        <v>6624</v>
      </c>
      <c r="AP390" t="s">
        <v>6625</v>
      </c>
      <c r="AQ390" t="s">
        <v>74</v>
      </c>
      <c r="AR390" t="s">
        <v>6626</v>
      </c>
      <c r="AS390" t="s">
        <v>6627</v>
      </c>
      <c r="AT390" t="s">
        <v>1490</v>
      </c>
      <c r="AU390">
        <v>2008</v>
      </c>
      <c r="AV390">
        <v>24</v>
      </c>
      <c r="AW390">
        <v>1</v>
      </c>
      <c r="AX390" t="s">
        <v>74</v>
      </c>
      <c r="AY390" t="s">
        <v>74</v>
      </c>
      <c r="AZ390" t="s">
        <v>74</v>
      </c>
      <c r="BA390" t="s">
        <v>74</v>
      </c>
      <c r="BB390">
        <v>207</v>
      </c>
      <c r="BC390">
        <v>217</v>
      </c>
      <c r="BD390" t="s">
        <v>74</v>
      </c>
      <c r="BE390" t="s">
        <v>6628</v>
      </c>
      <c r="BF390" t="str">
        <f>HYPERLINK("http://dx.doi.org/10.1111/j.1748-7692.2007.00156.x","http://dx.doi.org/10.1111/j.1748-7692.2007.00156.x")</f>
        <v>http://dx.doi.org/10.1111/j.1748-7692.2007.00156.x</v>
      </c>
      <c r="BG390" t="s">
        <v>74</v>
      </c>
      <c r="BH390" t="s">
        <v>74</v>
      </c>
      <c r="BI390">
        <v>11</v>
      </c>
      <c r="BJ390" t="s">
        <v>5098</v>
      </c>
      <c r="BK390" t="s">
        <v>97</v>
      </c>
      <c r="BL390" t="s">
        <v>5098</v>
      </c>
      <c r="BM390" t="s">
        <v>6629</v>
      </c>
      <c r="BN390" t="s">
        <v>74</v>
      </c>
      <c r="BO390" t="s">
        <v>74</v>
      </c>
      <c r="BP390" t="s">
        <v>74</v>
      </c>
      <c r="BQ390" t="s">
        <v>74</v>
      </c>
      <c r="BR390" t="s">
        <v>100</v>
      </c>
      <c r="BS390" t="s">
        <v>6630</v>
      </c>
      <c r="BT390" t="str">
        <f>HYPERLINK("https%3A%2F%2Fwww.webofscience.com%2Fwos%2Fwoscc%2Ffull-record%2FWOS:000253121500017","View Full Record in Web of Science")</f>
        <v>View Full Record in Web of Science</v>
      </c>
    </row>
    <row r="391" spans="1:72" x14ac:dyDescent="0.15">
      <c r="A391" t="s">
        <v>72</v>
      </c>
      <c r="B391" t="s">
        <v>6631</v>
      </c>
      <c r="C391" t="s">
        <v>74</v>
      </c>
      <c r="D391" t="s">
        <v>74</v>
      </c>
      <c r="E391" t="s">
        <v>74</v>
      </c>
      <c r="F391" t="s">
        <v>6632</v>
      </c>
      <c r="G391" t="s">
        <v>74</v>
      </c>
      <c r="H391" t="s">
        <v>74</v>
      </c>
      <c r="I391" t="s">
        <v>6633</v>
      </c>
      <c r="J391" t="s">
        <v>6616</v>
      </c>
      <c r="K391" t="s">
        <v>74</v>
      </c>
      <c r="L391" t="s">
        <v>74</v>
      </c>
      <c r="M391" t="s">
        <v>78</v>
      </c>
      <c r="N391" t="s">
        <v>79</v>
      </c>
      <c r="O391" t="s">
        <v>74</v>
      </c>
      <c r="P391" t="s">
        <v>74</v>
      </c>
      <c r="Q391" t="s">
        <v>74</v>
      </c>
      <c r="R391" t="s">
        <v>74</v>
      </c>
      <c r="S391" t="s">
        <v>74</v>
      </c>
      <c r="T391" t="s">
        <v>74</v>
      </c>
      <c r="U391" t="s">
        <v>6634</v>
      </c>
      <c r="V391" t="s">
        <v>74</v>
      </c>
      <c r="W391" t="s">
        <v>6635</v>
      </c>
      <c r="X391" t="s">
        <v>74</v>
      </c>
      <c r="Y391" t="s">
        <v>6636</v>
      </c>
      <c r="Z391" t="s">
        <v>6637</v>
      </c>
      <c r="AA391" t="s">
        <v>6638</v>
      </c>
      <c r="AB391" t="s">
        <v>6639</v>
      </c>
      <c r="AC391" t="s">
        <v>74</v>
      </c>
      <c r="AD391" t="s">
        <v>74</v>
      </c>
      <c r="AE391" t="s">
        <v>74</v>
      </c>
      <c r="AF391" t="s">
        <v>74</v>
      </c>
      <c r="AG391">
        <v>7</v>
      </c>
      <c r="AH391">
        <v>45</v>
      </c>
      <c r="AI391">
        <v>51</v>
      </c>
      <c r="AJ391">
        <v>4</v>
      </c>
      <c r="AK391">
        <v>101</v>
      </c>
      <c r="AL391" t="s">
        <v>6640</v>
      </c>
      <c r="AM391" t="s">
        <v>522</v>
      </c>
      <c r="AN391" t="s">
        <v>6641</v>
      </c>
      <c r="AO391" t="s">
        <v>6624</v>
      </c>
      <c r="AP391" t="s">
        <v>74</v>
      </c>
      <c r="AQ391" t="s">
        <v>74</v>
      </c>
      <c r="AR391" t="s">
        <v>6626</v>
      </c>
      <c r="AS391" t="s">
        <v>6627</v>
      </c>
      <c r="AT391" t="s">
        <v>1490</v>
      </c>
      <c r="AU391">
        <v>2008</v>
      </c>
      <c r="AV391">
        <v>24</v>
      </c>
      <c r="AW391">
        <v>1</v>
      </c>
      <c r="AX391" t="s">
        <v>74</v>
      </c>
      <c r="AY391" t="s">
        <v>74</v>
      </c>
      <c r="AZ391" t="s">
        <v>74</v>
      </c>
      <c r="BA391" t="s">
        <v>74</v>
      </c>
      <c r="BB391">
        <v>225</v>
      </c>
      <c r="BC391">
        <v>234</v>
      </c>
      <c r="BD391" t="s">
        <v>74</v>
      </c>
      <c r="BE391" t="s">
        <v>6642</v>
      </c>
      <c r="BF391" t="str">
        <f>HYPERLINK("http://dx.doi.org/10.1111/j.1748-7692.2007.00163.x","http://dx.doi.org/10.1111/j.1748-7692.2007.00163.x")</f>
        <v>http://dx.doi.org/10.1111/j.1748-7692.2007.00163.x</v>
      </c>
      <c r="BG391" t="s">
        <v>74</v>
      </c>
      <c r="BH391" t="s">
        <v>74</v>
      </c>
      <c r="BI391">
        <v>10</v>
      </c>
      <c r="BJ391" t="s">
        <v>5098</v>
      </c>
      <c r="BK391" t="s">
        <v>97</v>
      </c>
      <c r="BL391" t="s">
        <v>5098</v>
      </c>
      <c r="BM391" t="s">
        <v>6629</v>
      </c>
      <c r="BN391" t="s">
        <v>74</v>
      </c>
      <c r="BO391" t="s">
        <v>74</v>
      </c>
      <c r="BP391" t="s">
        <v>74</v>
      </c>
      <c r="BQ391" t="s">
        <v>74</v>
      </c>
      <c r="BR391" t="s">
        <v>100</v>
      </c>
      <c r="BS391" t="s">
        <v>6643</v>
      </c>
      <c r="BT391" t="str">
        <f>HYPERLINK("https%3A%2F%2Fwww.webofscience.com%2Fwos%2Fwoscc%2Ffull-record%2FWOS:000253121500019","View Full Record in Web of Science")</f>
        <v>View Full Record in Web of Science</v>
      </c>
    </row>
    <row r="392" spans="1:72" x14ac:dyDescent="0.15">
      <c r="A392" t="s">
        <v>72</v>
      </c>
      <c r="B392" t="s">
        <v>6644</v>
      </c>
      <c r="C392" t="s">
        <v>74</v>
      </c>
      <c r="D392" t="s">
        <v>74</v>
      </c>
      <c r="E392" t="s">
        <v>74</v>
      </c>
      <c r="F392" t="s">
        <v>6645</v>
      </c>
      <c r="G392" t="s">
        <v>74</v>
      </c>
      <c r="H392" t="s">
        <v>74</v>
      </c>
      <c r="I392" t="s">
        <v>6646</v>
      </c>
      <c r="J392" t="s">
        <v>6616</v>
      </c>
      <c r="K392" t="s">
        <v>74</v>
      </c>
      <c r="L392" t="s">
        <v>74</v>
      </c>
      <c r="M392" t="s">
        <v>78</v>
      </c>
      <c r="N392" t="s">
        <v>79</v>
      </c>
      <c r="O392" t="s">
        <v>74</v>
      </c>
      <c r="P392" t="s">
        <v>74</v>
      </c>
      <c r="Q392" t="s">
        <v>74</v>
      </c>
      <c r="R392" t="s">
        <v>74</v>
      </c>
      <c r="S392" t="s">
        <v>74</v>
      </c>
      <c r="T392" t="s">
        <v>74</v>
      </c>
      <c r="U392" t="s">
        <v>6647</v>
      </c>
      <c r="V392" t="s">
        <v>74</v>
      </c>
      <c r="W392" t="s">
        <v>6648</v>
      </c>
      <c r="X392" t="s">
        <v>164</v>
      </c>
      <c r="Y392" t="s">
        <v>6649</v>
      </c>
      <c r="Z392" t="s">
        <v>6650</v>
      </c>
      <c r="AA392" t="s">
        <v>74</v>
      </c>
      <c r="AB392" t="s">
        <v>6651</v>
      </c>
      <c r="AC392" t="s">
        <v>74</v>
      </c>
      <c r="AD392" t="s">
        <v>74</v>
      </c>
      <c r="AE392" t="s">
        <v>74</v>
      </c>
      <c r="AF392" t="s">
        <v>74</v>
      </c>
      <c r="AG392">
        <v>38</v>
      </c>
      <c r="AH392">
        <v>27</v>
      </c>
      <c r="AI392">
        <v>32</v>
      </c>
      <c r="AJ392">
        <v>1</v>
      </c>
      <c r="AK392">
        <v>13</v>
      </c>
      <c r="AL392" t="s">
        <v>6640</v>
      </c>
      <c r="AM392" t="s">
        <v>522</v>
      </c>
      <c r="AN392" t="s">
        <v>6641</v>
      </c>
      <c r="AO392" t="s">
        <v>6624</v>
      </c>
      <c r="AP392" t="s">
        <v>74</v>
      </c>
      <c r="AQ392" t="s">
        <v>74</v>
      </c>
      <c r="AR392" t="s">
        <v>6626</v>
      </c>
      <c r="AS392" t="s">
        <v>6627</v>
      </c>
      <c r="AT392" t="s">
        <v>1490</v>
      </c>
      <c r="AU392">
        <v>2008</v>
      </c>
      <c r="AV392">
        <v>24</v>
      </c>
      <c r="AW392">
        <v>1</v>
      </c>
      <c r="AX392" t="s">
        <v>74</v>
      </c>
      <c r="AY392" t="s">
        <v>74</v>
      </c>
      <c r="AZ392" t="s">
        <v>74</v>
      </c>
      <c r="BA392" t="s">
        <v>74</v>
      </c>
      <c r="BB392">
        <v>239</v>
      </c>
      <c r="BC392">
        <v>247</v>
      </c>
      <c r="BD392" t="s">
        <v>74</v>
      </c>
      <c r="BE392" t="s">
        <v>6652</v>
      </c>
      <c r="BF392" t="str">
        <f>HYPERLINK("http://dx.doi.org/10.1111/j.1748-7692.2007.00181.x","http://dx.doi.org/10.1111/j.1748-7692.2007.00181.x")</f>
        <v>http://dx.doi.org/10.1111/j.1748-7692.2007.00181.x</v>
      </c>
      <c r="BG392" t="s">
        <v>74</v>
      </c>
      <c r="BH392" t="s">
        <v>74</v>
      </c>
      <c r="BI392">
        <v>9</v>
      </c>
      <c r="BJ392" t="s">
        <v>5098</v>
      </c>
      <c r="BK392" t="s">
        <v>97</v>
      </c>
      <c r="BL392" t="s">
        <v>5098</v>
      </c>
      <c r="BM392" t="s">
        <v>6629</v>
      </c>
      <c r="BN392" t="s">
        <v>74</v>
      </c>
      <c r="BO392" t="s">
        <v>74</v>
      </c>
      <c r="BP392" t="s">
        <v>74</v>
      </c>
      <c r="BQ392" t="s">
        <v>74</v>
      </c>
      <c r="BR392" t="s">
        <v>100</v>
      </c>
      <c r="BS392" t="s">
        <v>6653</v>
      </c>
      <c r="BT392" t="str">
        <f>HYPERLINK("https%3A%2F%2Fwww.webofscience.com%2Fwos%2Fwoscc%2Ffull-record%2FWOS:000253121500021","View Full Record in Web of Science")</f>
        <v>View Full Record in Web of Science</v>
      </c>
    </row>
    <row r="393" spans="1:72" x14ac:dyDescent="0.15">
      <c r="A393" t="s">
        <v>72</v>
      </c>
      <c r="B393" t="s">
        <v>6654</v>
      </c>
      <c r="C393" t="s">
        <v>74</v>
      </c>
      <c r="D393" t="s">
        <v>74</v>
      </c>
      <c r="E393" t="s">
        <v>74</v>
      </c>
      <c r="F393" t="s">
        <v>6655</v>
      </c>
      <c r="G393" t="s">
        <v>74</v>
      </c>
      <c r="H393" t="s">
        <v>74</v>
      </c>
      <c r="I393" t="s">
        <v>6656</v>
      </c>
      <c r="J393" t="s">
        <v>6657</v>
      </c>
      <c r="K393" t="s">
        <v>74</v>
      </c>
      <c r="L393" t="s">
        <v>74</v>
      </c>
      <c r="M393" t="s">
        <v>78</v>
      </c>
      <c r="N393" t="s">
        <v>1602</v>
      </c>
      <c r="O393" t="s">
        <v>6658</v>
      </c>
      <c r="P393" t="s">
        <v>6659</v>
      </c>
      <c r="Q393" t="s">
        <v>6660</v>
      </c>
      <c r="R393" t="s">
        <v>74</v>
      </c>
      <c r="S393" t="s">
        <v>74</v>
      </c>
      <c r="T393" t="s">
        <v>74</v>
      </c>
      <c r="U393" t="s">
        <v>6661</v>
      </c>
      <c r="V393" t="s">
        <v>6662</v>
      </c>
      <c r="W393" t="s">
        <v>6663</v>
      </c>
      <c r="X393" t="s">
        <v>3744</v>
      </c>
      <c r="Y393" t="s">
        <v>6664</v>
      </c>
      <c r="Z393" t="s">
        <v>74</v>
      </c>
      <c r="AA393" t="s">
        <v>74</v>
      </c>
      <c r="AB393" t="s">
        <v>6665</v>
      </c>
      <c r="AC393" t="s">
        <v>74</v>
      </c>
      <c r="AD393" t="s">
        <v>74</v>
      </c>
      <c r="AE393" t="s">
        <v>74</v>
      </c>
      <c r="AF393" t="s">
        <v>74</v>
      </c>
      <c r="AG393">
        <v>55</v>
      </c>
      <c r="AH393">
        <v>11</v>
      </c>
      <c r="AI393">
        <v>12</v>
      </c>
      <c r="AJ393">
        <v>0</v>
      </c>
      <c r="AK393">
        <v>6</v>
      </c>
      <c r="AL393" t="s">
        <v>6666</v>
      </c>
      <c r="AM393" t="s">
        <v>6667</v>
      </c>
      <c r="AN393" t="s">
        <v>6668</v>
      </c>
      <c r="AO393" t="s">
        <v>6669</v>
      </c>
      <c r="AP393" t="s">
        <v>6670</v>
      </c>
      <c r="AQ393" t="s">
        <v>74</v>
      </c>
      <c r="AR393" t="s">
        <v>6671</v>
      </c>
      <c r="AS393" t="s">
        <v>6672</v>
      </c>
      <c r="AT393" t="s">
        <v>74</v>
      </c>
      <c r="AU393">
        <v>2008</v>
      </c>
      <c r="AV393">
        <v>17</v>
      </c>
      <c r="AW393">
        <v>5</v>
      </c>
      <c r="AX393" t="s">
        <v>74</v>
      </c>
      <c r="AY393" t="s">
        <v>74</v>
      </c>
      <c r="AZ393" t="s">
        <v>5368</v>
      </c>
      <c r="BA393" t="s">
        <v>74</v>
      </c>
      <c r="BB393">
        <v>589</v>
      </c>
      <c r="BC393">
        <v>601</v>
      </c>
      <c r="BD393" t="s">
        <v>74</v>
      </c>
      <c r="BE393" t="s">
        <v>6673</v>
      </c>
      <c r="BF393" t="str">
        <f>HYPERLINK("http://dx.doi.org/10.1127/0941-2948/2008/0327","http://dx.doi.org/10.1127/0941-2948/2008/0327")</f>
        <v>http://dx.doi.org/10.1127/0941-2948/2008/0327</v>
      </c>
      <c r="BG393" t="s">
        <v>74</v>
      </c>
      <c r="BH393" t="s">
        <v>74</v>
      </c>
      <c r="BI393">
        <v>13</v>
      </c>
      <c r="BJ393" t="s">
        <v>204</v>
      </c>
      <c r="BK393" t="s">
        <v>1616</v>
      </c>
      <c r="BL393" t="s">
        <v>204</v>
      </c>
      <c r="BM393" t="s">
        <v>6674</v>
      </c>
      <c r="BN393" t="s">
        <v>74</v>
      </c>
      <c r="BO393" t="s">
        <v>74</v>
      </c>
      <c r="BP393" t="s">
        <v>74</v>
      </c>
      <c r="BQ393" t="s">
        <v>74</v>
      </c>
      <c r="BR393" t="s">
        <v>100</v>
      </c>
      <c r="BS393" t="s">
        <v>6675</v>
      </c>
      <c r="BT393" t="str">
        <f>HYPERLINK("https%3A%2F%2Fwww.webofscience.com%2Fwos%2Fwoscc%2Ffull-record%2FWOS:000260545400006","View Full Record in Web of Science")</f>
        <v>View Full Record in Web of Science</v>
      </c>
    </row>
    <row r="394" spans="1:72" x14ac:dyDescent="0.15">
      <c r="A394" t="s">
        <v>72</v>
      </c>
      <c r="B394" t="s">
        <v>6676</v>
      </c>
      <c r="C394" t="s">
        <v>74</v>
      </c>
      <c r="D394" t="s">
        <v>74</v>
      </c>
      <c r="E394" t="s">
        <v>74</v>
      </c>
      <c r="F394" t="s">
        <v>6677</v>
      </c>
      <c r="G394" t="s">
        <v>74</v>
      </c>
      <c r="H394" t="s">
        <v>74</v>
      </c>
      <c r="I394" t="s">
        <v>6678</v>
      </c>
      <c r="J394" t="s">
        <v>6679</v>
      </c>
      <c r="K394" t="s">
        <v>74</v>
      </c>
      <c r="L394" t="s">
        <v>74</v>
      </c>
      <c r="M394" t="s">
        <v>78</v>
      </c>
      <c r="N394" t="s">
        <v>79</v>
      </c>
      <c r="O394" t="s">
        <v>74</v>
      </c>
      <c r="P394" t="s">
        <v>74</v>
      </c>
      <c r="Q394" t="s">
        <v>74</v>
      </c>
      <c r="R394" t="s">
        <v>74</v>
      </c>
      <c r="S394" t="s">
        <v>74</v>
      </c>
      <c r="T394" t="s">
        <v>6680</v>
      </c>
      <c r="U394" t="s">
        <v>6681</v>
      </c>
      <c r="V394" t="s">
        <v>6682</v>
      </c>
      <c r="W394" t="s">
        <v>6683</v>
      </c>
      <c r="X394" t="s">
        <v>6684</v>
      </c>
      <c r="Y394" t="s">
        <v>6685</v>
      </c>
      <c r="Z394" t="s">
        <v>6686</v>
      </c>
      <c r="AA394" t="s">
        <v>6687</v>
      </c>
      <c r="AB394" t="s">
        <v>6688</v>
      </c>
      <c r="AC394" t="s">
        <v>74</v>
      </c>
      <c r="AD394" t="s">
        <v>74</v>
      </c>
      <c r="AE394" t="s">
        <v>74</v>
      </c>
      <c r="AF394" t="s">
        <v>74</v>
      </c>
      <c r="AG394">
        <v>39</v>
      </c>
      <c r="AH394">
        <v>13</v>
      </c>
      <c r="AI394">
        <v>15</v>
      </c>
      <c r="AJ394">
        <v>0</v>
      </c>
      <c r="AK394">
        <v>11</v>
      </c>
      <c r="AL394" t="s">
        <v>6689</v>
      </c>
      <c r="AM394" t="s">
        <v>6690</v>
      </c>
      <c r="AN394" t="s">
        <v>6691</v>
      </c>
      <c r="AO394" t="s">
        <v>6692</v>
      </c>
      <c r="AP394" t="s">
        <v>74</v>
      </c>
      <c r="AQ394" t="s">
        <v>74</v>
      </c>
      <c r="AR394" t="s">
        <v>6693</v>
      </c>
      <c r="AS394" t="s">
        <v>6694</v>
      </c>
      <c r="AT394" t="s">
        <v>74</v>
      </c>
      <c r="AU394">
        <v>2008</v>
      </c>
      <c r="AV394">
        <v>23</v>
      </c>
      <c r="AW394">
        <v>3</v>
      </c>
      <c r="AX394" t="s">
        <v>74</v>
      </c>
      <c r="AY394" t="s">
        <v>74</v>
      </c>
      <c r="AZ394" t="s">
        <v>74</v>
      </c>
      <c r="BA394" t="s">
        <v>74</v>
      </c>
      <c r="BB394">
        <v>209</v>
      </c>
      <c r="BC394">
        <v>214</v>
      </c>
      <c r="BD394" t="s">
        <v>74</v>
      </c>
      <c r="BE394" t="s">
        <v>6695</v>
      </c>
      <c r="BF394" t="str">
        <f>HYPERLINK("http://dx.doi.org/10.1264/jsme2.23.209","http://dx.doi.org/10.1264/jsme2.23.209")</f>
        <v>http://dx.doi.org/10.1264/jsme2.23.209</v>
      </c>
      <c r="BG394" t="s">
        <v>74</v>
      </c>
      <c r="BH394" t="s">
        <v>74</v>
      </c>
      <c r="BI394">
        <v>6</v>
      </c>
      <c r="BJ394" t="s">
        <v>1925</v>
      </c>
      <c r="BK394" t="s">
        <v>97</v>
      </c>
      <c r="BL394" t="s">
        <v>1925</v>
      </c>
      <c r="BM394" t="s">
        <v>6696</v>
      </c>
      <c r="BN394">
        <v>21558710</v>
      </c>
      <c r="BO394" t="s">
        <v>179</v>
      </c>
      <c r="BP394" t="s">
        <v>74</v>
      </c>
      <c r="BQ394" t="s">
        <v>74</v>
      </c>
      <c r="BR394" t="s">
        <v>100</v>
      </c>
      <c r="BS394" t="s">
        <v>6697</v>
      </c>
      <c r="BT394" t="str">
        <f>HYPERLINK("https%3A%2F%2Fwww.webofscience.com%2Fwos%2Fwoscc%2Ffull-record%2FWOS:000258525800005","View Full Record in Web of Science")</f>
        <v>View Full Record in Web of Science</v>
      </c>
    </row>
    <row r="395" spans="1:72" x14ac:dyDescent="0.15">
      <c r="A395" t="s">
        <v>72</v>
      </c>
      <c r="B395" t="s">
        <v>6698</v>
      </c>
      <c r="C395" t="s">
        <v>74</v>
      </c>
      <c r="D395" t="s">
        <v>74</v>
      </c>
      <c r="E395" t="s">
        <v>74</v>
      </c>
      <c r="F395" t="s">
        <v>6699</v>
      </c>
      <c r="G395" t="s">
        <v>74</v>
      </c>
      <c r="H395" t="s">
        <v>74</v>
      </c>
      <c r="I395" t="s">
        <v>6700</v>
      </c>
      <c r="J395" t="s">
        <v>6701</v>
      </c>
      <c r="K395" t="s">
        <v>74</v>
      </c>
      <c r="L395" t="s">
        <v>74</v>
      </c>
      <c r="M395" t="s">
        <v>78</v>
      </c>
      <c r="N395" t="s">
        <v>1602</v>
      </c>
      <c r="O395" t="s">
        <v>6702</v>
      </c>
      <c r="P395" t="s">
        <v>6703</v>
      </c>
      <c r="Q395" t="s">
        <v>6704</v>
      </c>
      <c r="R395" t="s">
        <v>74</v>
      </c>
      <c r="S395" t="s">
        <v>74</v>
      </c>
      <c r="T395" t="s">
        <v>74</v>
      </c>
      <c r="U395" t="s">
        <v>6705</v>
      </c>
      <c r="V395" t="s">
        <v>6706</v>
      </c>
      <c r="W395" t="s">
        <v>6707</v>
      </c>
      <c r="X395" t="s">
        <v>6005</v>
      </c>
      <c r="Y395" t="s">
        <v>6708</v>
      </c>
      <c r="Z395" t="s">
        <v>6709</v>
      </c>
      <c r="AA395" t="s">
        <v>74</v>
      </c>
      <c r="AB395" t="s">
        <v>74</v>
      </c>
      <c r="AC395" t="s">
        <v>74</v>
      </c>
      <c r="AD395" t="s">
        <v>74</v>
      </c>
      <c r="AE395" t="s">
        <v>74</v>
      </c>
      <c r="AF395" t="s">
        <v>74</v>
      </c>
      <c r="AG395">
        <v>36</v>
      </c>
      <c r="AH395">
        <v>7</v>
      </c>
      <c r="AI395">
        <v>7</v>
      </c>
      <c r="AJ395">
        <v>0</v>
      </c>
      <c r="AK395">
        <v>2</v>
      </c>
      <c r="AL395" t="s">
        <v>6710</v>
      </c>
      <c r="AM395" t="s">
        <v>6711</v>
      </c>
      <c r="AN395" t="s">
        <v>6712</v>
      </c>
      <c r="AO395" t="s">
        <v>6713</v>
      </c>
      <c r="AP395" t="s">
        <v>6714</v>
      </c>
      <c r="AQ395" t="s">
        <v>74</v>
      </c>
      <c r="AR395" t="s">
        <v>6701</v>
      </c>
      <c r="AS395" t="s">
        <v>6715</v>
      </c>
      <c r="AT395" t="s">
        <v>74</v>
      </c>
      <c r="AU395">
        <v>2008</v>
      </c>
      <c r="AV395">
        <v>54</v>
      </c>
      <c r="AW395">
        <v>1</v>
      </c>
      <c r="AX395" t="s">
        <v>74</v>
      </c>
      <c r="AY395" t="s">
        <v>74</v>
      </c>
      <c r="AZ395" t="s">
        <v>74</v>
      </c>
      <c r="BA395" t="s">
        <v>74</v>
      </c>
      <c r="BB395">
        <v>15</v>
      </c>
      <c r="BC395">
        <v>26</v>
      </c>
      <c r="BD395" t="s">
        <v>74</v>
      </c>
      <c r="BE395" t="s">
        <v>74</v>
      </c>
      <c r="BF395" t="s">
        <v>74</v>
      </c>
      <c r="BG395" t="s">
        <v>74</v>
      </c>
      <c r="BH395" t="s">
        <v>74</v>
      </c>
      <c r="BI395">
        <v>12</v>
      </c>
      <c r="BJ395" t="s">
        <v>1426</v>
      </c>
      <c r="BK395" t="s">
        <v>1616</v>
      </c>
      <c r="BL395" t="s">
        <v>1426</v>
      </c>
      <c r="BM395" t="s">
        <v>6716</v>
      </c>
      <c r="BN395" t="s">
        <v>74</v>
      </c>
      <c r="BO395" t="s">
        <v>74</v>
      </c>
      <c r="BP395" t="s">
        <v>74</v>
      </c>
      <c r="BQ395" t="s">
        <v>74</v>
      </c>
      <c r="BR395" t="s">
        <v>100</v>
      </c>
      <c r="BS395" t="s">
        <v>6717</v>
      </c>
      <c r="BT395" t="str">
        <f>HYPERLINK("https%3A%2F%2Fwww.webofscience.com%2Fwos%2Fwoscc%2Ffull-record%2FWOS:000256107800003","View Full Record in Web of Science")</f>
        <v>View Full Record in Web of Science</v>
      </c>
    </row>
    <row r="396" spans="1:72" x14ac:dyDescent="0.15">
      <c r="A396" t="s">
        <v>72</v>
      </c>
      <c r="B396" t="s">
        <v>6718</v>
      </c>
      <c r="C396" t="s">
        <v>74</v>
      </c>
      <c r="D396" t="s">
        <v>74</v>
      </c>
      <c r="E396" t="s">
        <v>74</v>
      </c>
      <c r="F396" t="s">
        <v>6719</v>
      </c>
      <c r="G396" t="s">
        <v>74</v>
      </c>
      <c r="H396" t="s">
        <v>74</v>
      </c>
      <c r="I396" t="s">
        <v>6720</v>
      </c>
      <c r="J396" t="s">
        <v>6701</v>
      </c>
      <c r="K396" t="s">
        <v>74</v>
      </c>
      <c r="L396" t="s">
        <v>74</v>
      </c>
      <c r="M396" t="s">
        <v>78</v>
      </c>
      <c r="N396" t="s">
        <v>1602</v>
      </c>
      <c r="O396" t="s">
        <v>6702</v>
      </c>
      <c r="P396" t="s">
        <v>6703</v>
      </c>
      <c r="Q396" t="s">
        <v>6704</v>
      </c>
      <c r="R396" t="s">
        <v>74</v>
      </c>
      <c r="S396" t="s">
        <v>74</v>
      </c>
      <c r="T396" t="s">
        <v>74</v>
      </c>
      <c r="U396" t="s">
        <v>6721</v>
      </c>
      <c r="V396" t="s">
        <v>6722</v>
      </c>
      <c r="W396" t="s">
        <v>6723</v>
      </c>
      <c r="X396" t="s">
        <v>6724</v>
      </c>
      <c r="Y396" t="s">
        <v>6725</v>
      </c>
      <c r="Z396" t="s">
        <v>6726</v>
      </c>
      <c r="AA396" t="s">
        <v>6727</v>
      </c>
      <c r="AB396" t="s">
        <v>6728</v>
      </c>
      <c r="AC396" t="s">
        <v>74</v>
      </c>
      <c r="AD396" t="s">
        <v>74</v>
      </c>
      <c r="AE396" t="s">
        <v>74</v>
      </c>
      <c r="AF396" t="s">
        <v>74</v>
      </c>
      <c r="AG396">
        <v>32</v>
      </c>
      <c r="AH396">
        <v>11</v>
      </c>
      <c r="AI396">
        <v>14</v>
      </c>
      <c r="AJ396">
        <v>0</v>
      </c>
      <c r="AK396">
        <v>2</v>
      </c>
      <c r="AL396" t="s">
        <v>6710</v>
      </c>
      <c r="AM396" t="s">
        <v>6711</v>
      </c>
      <c r="AN396" t="s">
        <v>6712</v>
      </c>
      <c r="AO396" t="s">
        <v>6713</v>
      </c>
      <c r="AP396" t="s">
        <v>6714</v>
      </c>
      <c r="AQ396" t="s">
        <v>74</v>
      </c>
      <c r="AR396" t="s">
        <v>6701</v>
      </c>
      <c r="AS396" t="s">
        <v>6715</v>
      </c>
      <c r="AT396" t="s">
        <v>74</v>
      </c>
      <c r="AU396">
        <v>2008</v>
      </c>
      <c r="AV396">
        <v>54</v>
      </c>
      <c r="AW396">
        <v>1</v>
      </c>
      <c r="AX396" t="s">
        <v>74</v>
      </c>
      <c r="AY396" t="s">
        <v>74</v>
      </c>
      <c r="AZ396" t="s">
        <v>74</v>
      </c>
      <c r="BA396" t="s">
        <v>74</v>
      </c>
      <c r="BB396">
        <v>41</v>
      </c>
      <c r="BC396">
        <v>48</v>
      </c>
      <c r="BD396" t="s">
        <v>74</v>
      </c>
      <c r="BE396" t="s">
        <v>74</v>
      </c>
      <c r="BF396" t="s">
        <v>74</v>
      </c>
      <c r="BG396" t="s">
        <v>74</v>
      </c>
      <c r="BH396" t="s">
        <v>74</v>
      </c>
      <c r="BI396">
        <v>8</v>
      </c>
      <c r="BJ396" t="s">
        <v>1426</v>
      </c>
      <c r="BK396" t="s">
        <v>1616</v>
      </c>
      <c r="BL396" t="s">
        <v>1426</v>
      </c>
      <c r="BM396" t="s">
        <v>6716</v>
      </c>
      <c r="BN396" t="s">
        <v>74</v>
      </c>
      <c r="BO396" t="s">
        <v>74</v>
      </c>
      <c r="BP396" t="s">
        <v>74</v>
      </c>
      <c r="BQ396" t="s">
        <v>74</v>
      </c>
      <c r="BR396" t="s">
        <v>100</v>
      </c>
      <c r="BS396" t="s">
        <v>6729</v>
      </c>
      <c r="BT396" t="str">
        <f>HYPERLINK("https%3A%2F%2Fwww.webofscience.com%2Fwos%2Fwoscc%2Ffull-record%2FWOS:000256107800005","View Full Record in Web of Science")</f>
        <v>View Full Record in Web of Science</v>
      </c>
    </row>
    <row r="397" spans="1:72" x14ac:dyDescent="0.15">
      <c r="A397" t="s">
        <v>1199</v>
      </c>
      <c r="B397" t="s">
        <v>6730</v>
      </c>
      <c r="C397" t="s">
        <v>74</v>
      </c>
      <c r="D397" t="s">
        <v>6731</v>
      </c>
      <c r="E397" t="s">
        <v>74</v>
      </c>
      <c r="F397" t="s">
        <v>6732</v>
      </c>
      <c r="G397" t="s">
        <v>74</v>
      </c>
      <c r="H397" t="s">
        <v>74</v>
      </c>
      <c r="I397" t="s">
        <v>6733</v>
      </c>
      <c r="J397" t="s">
        <v>6734</v>
      </c>
      <c r="K397" t="s">
        <v>6735</v>
      </c>
      <c r="L397" t="s">
        <v>74</v>
      </c>
      <c r="M397" t="s">
        <v>78</v>
      </c>
      <c r="N397" t="s">
        <v>1524</v>
      </c>
      <c r="O397" t="s">
        <v>74</v>
      </c>
      <c r="P397" t="s">
        <v>74</v>
      </c>
      <c r="Q397" t="s">
        <v>74</v>
      </c>
      <c r="R397" t="s">
        <v>74</v>
      </c>
      <c r="S397" t="s">
        <v>74</v>
      </c>
      <c r="T397" t="s">
        <v>74</v>
      </c>
      <c r="U397" t="s">
        <v>6736</v>
      </c>
      <c r="V397" t="s">
        <v>6737</v>
      </c>
      <c r="W397" t="s">
        <v>439</v>
      </c>
      <c r="X397" t="s">
        <v>440</v>
      </c>
      <c r="Y397" t="s">
        <v>6738</v>
      </c>
      <c r="Z397" t="s">
        <v>6739</v>
      </c>
      <c r="AA397" t="s">
        <v>74</v>
      </c>
      <c r="AB397" t="s">
        <v>74</v>
      </c>
      <c r="AC397" t="s">
        <v>74</v>
      </c>
      <c r="AD397" t="s">
        <v>74</v>
      </c>
      <c r="AE397" t="s">
        <v>74</v>
      </c>
      <c r="AF397" t="s">
        <v>74</v>
      </c>
      <c r="AG397">
        <v>44</v>
      </c>
      <c r="AH397">
        <v>38</v>
      </c>
      <c r="AI397">
        <v>39</v>
      </c>
      <c r="AJ397">
        <v>0</v>
      </c>
      <c r="AK397">
        <v>0</v>
      </c>
      <c r="AL397" t="s">
        <v>193</v>
      </c>
      <c r="AM397" t="s">
        <v>194</v>
      </c>
      <c r="AN397" t="s">
        <v>195</v>
      </c>
      <c r="AO397" t="s">
        <v>6740</v>
      </c>
      <c r="AP397" t="s">
        <v>74</v>
      </c>
      <c r="AQ397" t="s">
        <v>6741</v>
      </c>
      <c r="AR397" t="s">
        <v>6742</v>
      </c>
      <c r="AS397" t="s">
        <v>74</v>
      </c>
      <c r="AT397" t="s">
        <v>74</v>
      </c>
      <c r="AU397">
        <v>2008</v>
      </c>
      <c r="AV397">
        <v>181</v>
      </c>
      <c r="AW397" t="s">
        <v>74</v>
      </c>
      <c r="AX397" t="s">
        <v>74</v>
      </c>
      <c r="AY397" t="s">
        <v>74</v>
      </c>
      <c r="AZ397" t="s">
        <v>74</v>
      </c>
      <c r="BA397" t="s">
        <v>74</v>
      </c>
      <c r="BB397">
        <v>25</v>
      </c>
      <c r="BC397">
        <v>33</v>
      </c>
      <c r="BD397" t="s">
        <v>74</v>
      </c>
      <c r="BE397" t="s">
        <v>6743</v>
      </c>
      <c r="BF397" t="str">
        <f>HYPERLINK("http://dx.doi.org/10.1029/181GM04","http://dx.doi.org/10.1029/181GM04")</f>
        <v>http://dx.doi.org/10.1029/181GM04</v>
      </c>
      <c r="BG397" t="s">
        <v>6744</v>
      </c>
      <c r="BH397" t="s">
        <v>74</v>
      </c>
      <c r="BI397">
        <v>9</v>
      </c>
      <c r="BJ397" t="s">
        <v>553</v>
      </c>
      <c r="BK397" t="s">
        <v>1537</v>
      </c>
      <c r="BL397" t="s">
        <v>553</v>
      </c>
      <c r="BM397" t="s">
        <v>6745</v>
      </c>
      <c r="BN397" t="s">
        <v>74</v>
      </c>
      <c r="BO397" t="s">
        <v>74</v>
      </c>
      <c r="BP397" t="s">
        <v>74</v>
      </c>
      <c r="BQ397" t="s">
        <v>74</v>
      </c>
      <c r="BR397" t="s">
        <v>100</v>
      </c>
      <c r="BS397" t="s">
        <v>6746</v>
      </c>
      <c r="BT397" t="str">
        <f>HYPERLINK("https%3A%2F%2Fwww.webofscience.com%2Fwos%2Fwoscc%2Ffull-record%2FWOS:000267401600003","View Full Record in Web of Science")</f>
        <v>View Full Record in Web of Science</v>
      </c>
    </row>
    <row r="398" spans="1:72" x14ac:dyDescent="0.15">
      <c r="A398" t="s">
        <v>816</v>
      </c>
      <c r="B398" t="s">
        <v>6747</v>
      </c>
      <c r="C398" t="s">
        <v>74</v>
      </c>
      <c r="D398" t="s">
        <v>6748</v>
      </c>
      <c r="E398" t="s">
        <v>74</v>
      </c>
      <c r="F398" t="s">
        <v>6749</v>
      </c>
      <c r="G398" t="s">
        <v>74</v>
      </c>
      <c r="H398" t="s">
        <v>74</v>
      </c>
      <c r="I398" t="s">
        <v>6750</v>
      </c>
      <c r="J398" t="s">
        <v>6751</v>
      </c>
      <c r="K398" t="s">
        <v>74</v>
      </c>
      <c r="L398" t="s">
        <v>74</v>
      </c>
      <c r="M398" t="s">
        <v>78</v>
      </c>
      <c r="N398" t="s">
        <v>823</v>
      </c>
      <c r="O398" t="s">
        <v>6752</v>
      </c>
      <c r="P398" t="s">
        <v>6753</v>
      </c>
      <c r="Q398" t="s">
        <v>6754</v>
      </c>
      <c r="R398" t="s">
        <v>74</v>
      </c>
      <c r="S398" t="s">
        <v>74</v>
      </c>
      <c r="T398" t="s">
        <v>74</v>
      </c>
      <c r="U398" t="s">
        <v>6755</v>
      </c>
      <c r="V398" t="s">
        <v>6756</v>
      </c>
      <c r="W398" t="s">
        <v>6757</v>
      </c>
      <c r="X398" t="s">
        <v>6758</v>
      </c>
      <c r="Y398" t="s">
        <v>6759</v>
      </c>
      <c r="Z398" t="s">
        <v>6760</v>
      </c>
      <c r="AA398" t="s">
        <v>74</v>
      </c>
      <c r="AB398" t="s">
        <v>74</v>
      </c>
      <c r="AC398" t="s">
        <v>74</v>
      </c>
      <c r="AD398" t="s">
        <v>74</v>
      </c>
      <c r="AE398" t="s">
        <v>74</v>
      </c>
      <c r="AF398" t="s">
        <v>74</v>
      </c>
      <c r="AG398">
        <v>38</v>
      </c>
      <c r="AH398">
        <v>3</v>
      </c>
      <c r="AI398">
        <v>3</v>
      </c>
      <c r="AJ398">
        <v>0</v>
      </c>
      <c r="AK398">
        <v>13</v>
      </c>
      <c r="AL398" t="s">
        <v>1265</v>
      </c>
      <c r="AM398" t="s">
        <v>1317</v>
      </c>
      <c r="AN398" t="s">
        <v>1318</v>
      </c>
      <c r="AO398" t="s">
        <v>74</v>
      </c>
      <c r="AP398" t="s">
        <v>74</v>
      </c>
      <c r="AQ398" t="s">
        <v>6761</v>
      </c>
      <c r="AR398" t="s">
        <v>74</v>
      </c>
      <c r="AS398" t="s">
        <v>74</v>
      </c>
      <c r="AT398" t="s">
        <v>74</v>
      </c>
      <c r="AU398">
        <v>2008</v>
      </c>
      <c r="AV398" t="s">
        <v>74</v>
      </c>
      <c r="AW398" t="s">
        <v>74</v>
      </c>
      <c r="AX398" t="s">
        <v>74</v>
      </c>
      <c r="AY398" t="s">
        <v>74</v>
      </c>
      <c r="AZ398" t="s">
        <v>74</v>
      </c>
      <c r="BA398" t="s">
        <v>74</v>
      </c>
      <c r="BB398">
        <v>1</v>
      </c>
      <c r="BC398" t="s">
        <v>865</v>
      </c>
      <c r="BD398" t="s">
        <v>74</v>
      </c>
      <c r="BE398" t="s">
        <v>6762</v>
      </c>
      <c r="BF398" t="str">
        <f>HYPERLINK("http://dx.doi.org/10.1007/978-1-4020-5941-4_1","http://dx.doi.org/10.1007/978-1-4020-5941-4_1")</f>
        <v>http://dx.doi.org/10.1007/978-1-4020-5941-4_1</v>
      </c>
      <c r="BG398" t="s">
        <v>74</v>
      </c>
      <c r="BH398" t="s">
        <v>74</v>
      </c>
      <c r="BI398">
        <v>35</v>
      </c>
      <c r="BJ398" t="s">
        <v>6763</v>
      </c>
      <c r="BK398" t="s">
        <v>842</v>
      </c>
      <c r="BL398" t="s">
        <v>813</v>
      </c>
      <c r="BM398" t="s">
        <v>6764</v>
      </c>
      <c r="BN398" t="s">
        <v>74</v>
      </c>
      <c r="BO398" t="s">
        <v>74</v>
      </c>
      <c r="BP398" t="s">
        <v>74</v>
      </c>
      <c r="BQ398" t="s">
        <v>74</v>
      </c>
      <c r="BR398" t="s">
        <v>100</v>
      </c>
      <c r="BS398" t="s">
        <v>6765</v>
      </c>
      <c r="BT398" t="str">
        <f>HYPERLINK("https%3A%2F%2Fwww.webofscience.com%2Fwos%2Fwoscc%2Ffull-record%2FWOS:000252461100001","View Full Record in Web of Science")</f>
        <v>View Full Record in Web of Science</v>
      </c>
    </row>
    <row r="399" spans="1:72" x14ac:dyDescent="0.15">
      <c r="A399" t="s">
        <v>72</v>
      </c>
      <c r="B399" t="s">
        <v>6766</v>
      </c>
      <c r="C399" t="s">
        <v>74</v>
      </c>
      <c r="D399" t="s">
        <v>74</v>
      </c>
      <c r="E399" t="s">
        <v>74</v>
      </c>
      <c r="F399" t="s">
        <v>6767</v>
      </c>
      <c r="G399" t="s">
        <v>74</v>
      </c>
      <c r="H399" t="s">
        <v>74</v>
      </c>
      <c r="I399" t="s">
        <v>6768</v>
      </c>
      <c r="J399" t="s">
        <v>6769</v>
      </c>
      <c r="K399" t="s">
        <v>74</v>
      </c>
      <c r="L399" t="s">
        <v>74</v>
      </c>
      <c r="M399" t="s">
        <v>78</v>
      </c>
      <c r="N399" t="s">
        <v>79</v>
      </c>
      <c r="O399" t="s">
        <v>74</v>
      </c>
      <c r="P399" t="s">
        <v>74</v>
      </c>
      <c r="Q399" t="s">
        <v>74</v>
      </c>
      <c r="R399" t="s">
        <v>74</v>
      </c>
      <c r="S399" t="s">
        <v>74</v>
      </c>
      <c r="T399" t="s">
        <v>6770</v>
      </c>
      <c r="U399" t="s">
        <v>74</v>
      </c>
      <c r="V399" t="s">
        <v>6771</v>
      </c>
      <c r="W399" t="s">
        <v>6772</v>
      </c>
      <c r="X399" t="s">
        <v>74</v>
      </c>
      <c r="Y399" t="s">
        <v>6773</v>
      </c>
      <c r="Z399" t="s">
        <v>6774</v>
      </c>
      <c r="AA399" t="s">
        <v>74</v>
      </c>
      <c r="AB399" t="s">
        <v>74</v>
      </c>
      <c r="AC399" t="s">
        <v>6775</v>
      </c>
      <c r="AD399" t="s">
        <v>6775</v>
      </c>
      <c r="AE399" t="s">
        <v>6776</v>
      </c>
      <c r="AF399" t="s">
        <v>74</v>
      </c>
      <c r="AG399">
        <v>15</v>
      </c>
      <c r="AH399">
        <v>0</v>
      </c>
      <c r="AI399">
        <v>1</v>
      </c>
      <c r="AJ399">
        <v>0</v>
      </c>
      <c r="AK399">
        <v>5</v>
      </c>
      <c r="AL399" t="s">
        <v>6777</v>
      </c>
      <c r="AM399" t="s">
        <v>6778</v>
      </c>
      <c r="AN399" t="s">
        <v>6779</v>
      </c>
      <c r="AO399" t="s">
        <v>6780</v>
      </c>
      <c r="AP399" t="s">
        <v>74</v>
      </c>
      <c r="AQ399" t="s">
        <v>74</v>
      </c>
      <c r="AR399" t="s">
        <v>6781</v>
      </c>
      <c r="AS399" t="s">
        <v>6782</v>
      </c>
      <c r="AT399" t="s">
        <v>74</v>
      </c>
      <c r="AU399">
        <v>2008</v>
      </c>
      <c r="AV399">
        <v>28</v>
      </c>
      <c r="AW399">
        <v>2</v>
      </c>
      <c r="AX399" t="s">
        <v>74</v>
      </c>
      <c r="AY399" t="s">
        <v>74</v>
      </c>
      <c r="AZ399" t="s">
        <v>74</v>
      </c>
      <c r="BA399" t="s">
        <v>74</v>
      </c>
      <c r="BB399">
        <v>142</v>
      </c>
      <c r="BC399">
        <v>144</v>
      </c>
      <c r="BD399" t="s">
        <v>74</v>
      </c>
      <c r="BE399" t="s">
        <v>74</v>
      </c>
      <c r="BF399" t="s">
        <v>74</v>
      </c>
      <c r="BG399" t="s">
        <v>74</v>
      </c>
      <c r="BH399" t="s">
        <v>74</v>
      </c>
      <c r="BI399">
        <v>3</v>
      </c>
      <c r="BJ399" t="s">
        <v>5098</v>
      </c>
      <c r="BK399" t="s">
        <v>97</v>
      </c>
      <c r="BL399" t="s">
        <v>5098</v>
      </c>
      <c r="BM399" t="s">
        <v>6783</v>
      </c>
      <c r="BN399" t="s">
        <v>74</v>
      </c>
      <c r="BO399" t="s">
        <v>74</v>
      </c>
      <c r="BP399" t="s">
        <v>74</v>
      </c>
      <c r="BQ399" t="s">
        <v>74</v>
      </c>
      <c r="BR399" t="s">
        <v>100</v>
      </c>
      <c r="BS399" t="s">
        <v>6784</v>
      </c>
      <c r="BT399" t="str">
        <f>HYPERLINK("https%3A%2F%2Fwww.webofscience.com%2Fwos%2Fwoscc%2Ffull-record%2FWOS:000258425200007","View Full Record in Web of Science")</f>
        <v>View Full Record in Web of Science</v>
      </c>
    </row>
    <row r="400" spans="1:72" x14ac:dyDescent="0.15">
      <c r="A400" t="s">
        <v>72</v>
      </c>
      <c r="B400" t="s">
        <v>6785</v>
      </c>
      <c r="C400" t="s">
        <v>74</v>
      </c>
      <c r="D400" t="s">
        <v>74</v>
      </c>
      <c r="E400" t="s">
        <v>74</v>
      </c>
      <c r="F400" t="s">
        <v>6786</v>
      </c>
      <c r="G400" t="s">
        <v>74</v>
      </c>
      <c r="H400" t="s">
        <v>74</v>
      </c>
      <c r="I400" t="s">
        <v>6787</v>
      </c>
      <c r="J400" t="s">
        <v>6788</v>
      </c>
      <c r="K400" t="s">
        <v>74</v>
      </c>
      <c r="L400" t="s">
        <v>74</v>
      </c>
      <c r="M400" t="s">
        <v>78</v>
      </c>
      <c r="N400" t="s">
        <v>79</v>
      </c>
      <c r="O400" t="s">
        <v>74</v>
      </c>
      <c r="P400" t="s">
        <v>74</v>
      </c>
      <c r="Q400" t="s">
        <v>74</v>
      </c>
      <c r="R400" t="s">
        <v>74</v>
      </c>
      <c r="S400" t="s">
        <v>74</v>
      </c>
      <c r="T400" t="s">
        <v>74</v>
      </c>
      <c r="U400" t="s">
        <v>6789</v>
      </c>
      <c r="V400" t="s">
        <v>6790</v>
      </c>
      <c r="W400" t="s">
        <v>6791</v>
      </c>
      <c r="X400" t="s">
        <v>6792</v>
      </c>
      <c r="Y400" t="s">
        <v>6793</v>
      </c>
      <c r="Z400" t="s">
        <v>6794</v>
      </c>
      <c r="AA400" t="s">
        <v>240</v>
      </c>
      <c r="AB400" t="s">
        <v>6795</v>
      </c>
      <c r="AC400" t="s">
        <v>74</v>
      </c>
      <c r="AD400" t="s">
        <v>74</v>
      </c>
      <c r="AE400" t="s">
        <v>74</v>
      </c>
      <c r="AF400" t="s">
        <v>74</v>
      </c>
      <c r="AG400">
        <v>34</v>
      </c>
      <c r="AH400">
        <v>34</v>
      </c>
      <c r="AI400">
        <v>40</v>
      </c>
      <c r="AJ400">
        <v>0</v>
      </c>
      <c r="AK400">
        <v>5</v>
      </c>
      <c r="AL400" t="s">
        <v>583</v>
      </c>
      <c r="AM400" t="s">
        <v>584</v>
      </c>
      <c r="AN400" t="s">
        <v>585</v>
      </c>
      <c r="AO400" t="s">
        <v>6796</v>
      </c>
      <c r="AP400" t="s">
        <v>74</v>
      </c>
      <c r="AQ400" t="s">
        <v>74</v>
      </c>
      <c r="AR400" t="s">
        <v>6797</v>
      </c>
      <c r="AS400" t="s">
        <v>6798</v>
      </c>
      <c r="AT400" t="s">
        <v>1490</v>
      </c>
      <c r="AU400">
        <v>2008</v>
      </c>
      <c r="AV400">
        <v>136</v>
      </c>
      <c r="AW400">
        <v>1</v>
      </c>
      <c r="AX400" t="s">
        <v>74</v>
      </c>
      <c r="AY400" t="s">
        <v>74</v>
      </c>
      <c r="AZ400" t="s">
        <v>74</v>
      </c>
      <c r="BA400" t="s">
        <v>74</v>
      </c>
      <c r="BB400">
        <v>7</v>
      </c>
      <c r="BC400">
        <v>26</v>
      </c>
      <c r="BD400" t="s">
        <v>74</v>
      </c>
      <c r="BE400" t="s">
        <v>6799</v>
      </c>
      <c r="BF400" t="str">
        <f>HYPERLINK("http://dx.doi.org/10.1175/2007MWR1999.1","http://dx.doi.org/10.1175/2007MWR1999.1")</f>
        <v>http://dx.doi.org/10.1175/2007MWR1999.1</v>
      </c>
      <c r="BG400" t="s">
        <v>74</v>
      </c>
      <c r="BH400" t="s">
        <v>74</v>
      </c>
      <c r="BI400">
        <v>20</v>
      </c>
      <c r="BJ400" t="s">
        <v>204</v>
      </c>
      <c r="BK400" t="s">
        <v>97</v>
      </c>
      <c r="BL400" t="s">
        <v>204</v>
      </c>
      <c r="BM400" t="s">
        <v>6800</v>
      </c>
      <c r="BN400" t="s">
        <v>74</v>
      </c>
      <c r="BO400" t="s">
        <v>179</v>
      </c>
      <c r="BP400" t="s">
        <v>74</v>
      </c>
      <c r="BQ400" t="s">
        <v>74</v>
      </c>
      <c r="BR400" t="s">
        <v>100</v>
      </c>
      <c r="BS400" t="s">
        <v>6801</v>
      </c>
      <c r="BT400" t="str">
        <f>HYPERLINK("https%3A%2F%2Fwww.webofscience.com%2Fwos%2Fwoscc%2Ffull-record%2FWOS:000252740200002","View Full Record in Web of Science")</f>
        <v>View Full Record in Web of Science</v>
      </c>
    </row>
    <row r="401" spans="1:72" x14ac:dyDescent="0.15">
      <c r="A401" t="s">
        <v>72</v>
      </c>
      <c r="B401" t="s">
        <v>6802</v>
      </c>
      <c r="C401" t="s">
        <v>74</v>
      </c>
      <c r="D401" t="s">
        <v>74</v>
      </c>
      <c r="E401" t="s">
        <v>74</v>
      </c>
      <c r="F401" t="s">
        <v>6803</v>
      </c>
      <c r="G401" t="s">
        <v>74</v>
      </c>
      <c r="H401" t="s">
        <v>74</v>
      </c>
      <c r="I401" t="s">
        <v>6804</v>
      </c>
      <c r="J401" t="s">
        <v>6805</v>
      </c>
      <c r="K401" t="s">
        <v>74</v>
      </c>
      <c r="L401" t="s">
        <v>74</v>
      </c>
      <c r="M401" t="s">
        <v>78</v>
      </c>
      <c r="N401" t="s">
        <v>79</v>
      </c>
      <c r="O401" t="s">
        <v>74</v>
      </c>
      <c r="P401" t="s">
        <v>74</v>
      </c>
      <c r="Q401" t="s">
        <v>74</v>
      </c>
      <c r="R401" t="s">
        <v>74</v>
      </c>
      <c r="S401" t="s">
        <v>74</v>
      </c>
      <c r="T401" t="s">
        <v>6806</v>
      </c>
      <c r="U401" t="s">
        <v>6807</v>
      </c>
      <c r="V401" t="s">
        <v>6808</v>
      </c>
      <c r="W401" t="s">
        <v>6809</v>
      </c>
      <c r="X401" t="s">
        <v>6810</v>
      </c>
      <c r="Y401" t="s">
        <v>6811</v>
      </c>
      <c r="Z401" t="s">
        <v>6812</v>
      </c>
      <c r="AA401" t="s">
        <v>6813</v>
      </c>
      <c r="AB401" t="s">
        <v>74</v>
      </c>
      <c r="AC401" t="s">
        <v>74</v>
      </c>
      <c r="AD401" t="s">
        <v>74</v>
      </c>
      <c r="AE401" t="s">
        <v>74</v>
      </c>
      <c r="AF401" t="s">
        <v>74</v>
      </c>
      <c r="AG401">
        <v>52</v>
      </c>
      <c r="AH401">
        <v>12</v>
      </c>
      <c r="AI401">
        <v>16</v>
      </c>
      <c r="AJ401">
        <v>0</v>
      </c>
      <c r="AK401">
        <v>5</v>
      </c>
      <c r="AL401" t="s">
        <v>6814</v>
      </c>
      <c r="AM401" t="s">
        <v>6815</v>
      </c>
      <c r="AN401" t="s">
        <v>6816</v>
      </c>
      <c r="AO401" t="s">
        <v>6817</v>
      </c>
      <c r="AP401" t="s">
        <v>74</v>
      </c>
      <c r="AQ401" t="s">
        <v>74</v>
      </c>
      <c r="AR401" t="s">
        <v>6805</v>
      </c>
      <c r="AS401" t="s">
        <v>6818</v>
      </c>
      <c r="AT401" t="s">
        <v>6588</v>
      </c>
      <c r="AU401">
        <v>2008</v>
      </c>
      <c r="AV401">
        <v>103</v>
      </c>
      <c r="AW401" t="s">
        <v>74</v>
      </c>
      <c r="AX401" t="s">
        <v>74</v>
      </c>
      <c r="AY401" t="s">
        <v>74</v>
      </c>
      <c r="AZ401" t="s">
        <v>74</v>
      </c>
      <c r="BA401" t="s">
        <v>74</v>
      </c>
      <c r="BB401">
        <v>109</v>
      </c>
      <c r="BC401">
        <v>121</v>
      </c>
      <c r="BD401" t="s">
        <v>74</v>
      </c>
      <c r="BE401" t="s">
        <v>74</v>
      </c>
      <c r="BF401" t="s">
        <v>74</v>
      </c>
      <c r="BG401" t="s">
        <v>74</v>
      </c>
      <c r="BH401" t="s">
        <v>74</v>
      </c>
      <c r="BI401">
        <v>13</v>
      </c>
      <c r="BJ401" t="s">
        <v>6819</v>
      </c>
      <c r="BK401" t="s">
        <v>97</v>
      </c>
      <c r="BL401" t="s">
        <v>6819</v>
      </c>
      <c r="BM401" t="s">
        <v>6820</v>
      </c>
      <c r="BN401" t="s">
        <v>74</v>
      </c>
      <c r="BO401" t="s">
        <v>74</v>
      </c>
      <c r="BP401" t="s">
        <v>74</v>
      </c>
      <c r="BQ401" t="s">
        <v>74</v>
      </c>
      <c r="BR401" t="s">
        <v>100</v>
      </c>
      <c r="BS401" t="s">
        <v>6821</v>
      </c>
      <c r="BT401" t="str">
        <f>HYPERLINK("https%3A%2F%2Fwww.webofscience.com%2Fwos%2Fwoscc%2Ffull-record%2FWOS:000254450100012","View Full Record in Web of Science")</f>
        <v>View Full Record in Web of Science</v>
      </c>
    </row>
    <row r="402" spans="1:72" x14ac:dyDescent="0.15">
      <c r="A402" t="s">
        <v>816</v>
      </c>
      <c r="B402" t="s">
        <v>6822</v>
      </c>
      <c r="C402" t="s">
        <v>74</v>
      </c>
      <c r="D402" t="s">
        <v>6823</v>
      </c>
      <c r="E402" t="s">
        <v>74</v>
      </c>
      <c r="F402" t="s">
        <v>6824</v>
      </c>
      <c r="G402" t="s">
        <v>74</v>
      </c>
      <c r="H402" t="s">
        <v>74</v>
      </c>
      <c r="I402" t="s">
        <v>6825</v>
      </c>
      <c r="J402" t="s">
        <v>6826</v>
      </c>
      <c r="K402" t="s">
        <v>74</v>
      </c>
      <c r="L402" t="s">
        <v>74</v>
      </c>
      <c r="M402" t="s">
        <v>78</v>
      </c>
      <c r="N402" t="s">
        <v>823</v>
      </c>
      <c r="O402" t="s">
        <v>6827</v>
      </c>
      <c r="P402" t="s">
        <v>6828</v>
      </c>
      <c r="Q402" t="s">
        <v>6829</v>
      </c>
      <c r="R402" t="s">
        <v>74</v>
      </c>
      <c r="S402" t="s">
        <v>74</v>
      </c>
      <c r="T402" t="s">
        <v>6830</v>
      </c>
      <c r="U402" t="s">
        <v>74</v>
      </c>
      <c r="V402" t="s">
        <v>6831</v>
      </c>
      <c r="W402" t="s">
        <v>6832</v>
      </c>
      <c r="X402" t="s">
        <v>6833</v>
      </c>
      <c r="Y402" t="s">
        <v>6834</v>
      </c>
      <c r="Z402" t="s">
        <v>74</v>
      </c>
      <c r="AA402" t="s">
        <v>74</v>
      </c>
      <c r="AB402" t="s">
        <v>74</v>
      </c>
      <c r="AC402" t="s">
        <v>74</v>
      </c>
      <c r="AD402" t="s">
        <v>74</v>
      </c>
      <c r="AE402" t="s">
        <v>74</v>
      </c>
      <c r="AF402" t="s">
        <v>74</v>
      </c>
      <c r="AG402">
        <v>5</v>
      </c>
      <c r="AH402">
        <v>0</v>
      </c>
      <c r="AI402">
        <v>0</v>
      </c>
      <c r="AJ402">
        <v>0</v>
      </c>
      <c r="AK402">
        <v>2</v>
      </c>
      <c r="AL402" t="s">
        <v>6835</v>
      </c>
      <c r="AM402" t="s">
        <v>2939</v>
      </c>
      <c r="AN402" t="s">
        <v>6836</v>
      </c>
      <c r="AO402" t="s">
        <v>74</v>
      </c>
      <c r="AP402" t="s">
        <v>74</v>
      </c>
      <c r="AQ402" t="s">
        <v>6837</v>
      </c>
      <c r="AR402" t="s">
        <v>74</v>
      </c>
      <c r="AS402" t="s">
        <v>74</v>
      </c>
      <c r="AT402" t="s">
        <v>74</v>
      </c>
      <c r="AU402">
        <v>2008</v>
      </c>
      <c r="AV402" t="s">
        <v>74</v>
      </c>
      <c r="AW402" t="s">
        <v>74</v>
      </c>
      <c r="AX402" t="s">
        <v>74</v>
      </c>
      <c r="AY402" t="s">
        <v>74</v>
      </c>
      <c r="AZ402" t="s">
        <v>74</v>
      </c>
      <c r="BA402" t="s">
        <v>74</v>
      </c>
      <c r="BB402">
        <v>473</v>
      </c>
      <c r="BC402">
        <v>476</v>
      </c>
      <c r="BD402" t="s">
        <v>74</v>
      </c>
      <c r="BE402" t="s">
        <v>74</v>
      </c>
      <c r="BF402" t="s">
        <v>74</v>
      </c>
      <c r="BG402" t="s">
        <v>74</v>
      </c>
      <c r="BH402" t="s">
        <v>74</v>
      </c>
      <c r="BI402">
        <v>4</v>
      </c>
      <c r="BJ402" t="s">
        <v>6838</v>
      </c>
      <c r="BK402" t="s">
        <v>842</v>
      </c>
      <c r="BL402" t="s">
        <v>6839</v>
      </c>
      <c r="BM402" t="s">
        <v>6840</v>
      </c>
      <c r="BN402" t="s">
        <v>74</v>
      </c>
      <c r="BO402" t="s">
        <v>74</v>
      </c>
      <c r="BP402" t="s">
        <v>74</v>
      </c>
      <c r="BQ402" t="s">
        <v>74</v>
      </c>
      <c r="BR402" t="s">
        <v>100</v>
      </c>
      <c r="BS402" t="s">
        <v>6841</v>
      </c>
      <c r="BT402" t="str">
        <f>HYPERLINK("https%3A%2F%2Fwww.webofscience.com%2Fwos%2Fwoscc%2Ffull-record%2FWOS:000258061000095","View Full Record in Web of Science")</f>
        <v>View Full Record in Web of Science</v>
      </c>
    </row>
    <row r="403" spans="1:72" x14ac:dyDescent="0.15">
      <c r="A403" t="s">
        <v>72</v>
      </c>
      <c r="B403" t="s">
        <v>6842</v>
      </c>
      <c r="C403" t="s">
        <v>74</v>
      </c>
      <c r="D403" t="s">
        <v>74</v>
      </c>
      <c r="E403" t="s">
        <v>74</v>
      </c>
      <c r="F403" t="s">
        <v>6843</v>
      </c>
      <c r="G403" t="s">
        <v>74</v>
      </c>
      <c r="H403" t="s">
        <v>74</v>
      </c>
      <c r="I403" t="s">
        <v>6844</v>
      </c>
      <c r="J403" t="s">
        <v>6845</v>
      </c>
      <c r="K403" t="s">
        <v>74</v>
      </c>
      <c r="L403" t="s">
        <v>74</v>
      </c>
      <c r="M403" t="s">
        <v>78</v>
      </c>
      <c r="N403" t="s">
        <v>79</v>
      </c>
      <c r="O403" t="s">
        <v>74</v>
      </c>
      <c r="P403" t="s">
        <v>74</v>
      </c>
      <c r="Q403" t="s">
        <v>74</v>
      </c>
      <c r="R403" t="s">
        <v>74</v>
      </c>
      <c r="S403" t="s">
        <v>74</v>
      </c>
      <c r="T403" t="s">
        <v>6846</v>
      </c>
      <c r="U403" t="s">
        <v>6847</v>
      </c>
      <c r="V403" t="s">
        <v>6848</v>
      </c>
      <c r="W403" t="s">
        <v>6849</v>
      </c>
      <c r="X403" t="s">
        <v>6850</v>
      </c>
      <c r="Y403" t="s">
        <v>6851</v>
      </c>
      <c r="Z403" t="s">
        <v>6852</v>
      </c>
      <c r="AA403" t="s">
        <v>6853</v>
      </c>
      <c r="AB403" t="s">
        <v>6854</v>
      </c>
      <c r="AC403" t="s">
        <v>74</v>
      </c>
      <c r="AD403" t="s">
        <v>74</v>
      </c>
      <c r="AE403" t="s">
        <v>74</v>
      </c>
      <c r="AF403" t="s">
        <v>74</v>
      </c>
      <c r="AG403">
        <v>29</v>
      </c>
      <c r="AH403">
        <v>83</v>
      </c>
      <c r="AI403">
        <v>86</v>
      </c>
      <c r="AJ403">
        <v>1</v>
      </c>
      <c r="AK403">
        <v>18</v>
      </c>
      <c r="AL403" t="s">
        <v>1219</v>
      </c>
      <c r="AM403" t="s">
        <v>89</v>
      </c>
      <c r="AN403" t="s">
        <v>90</v>
      </c>
      <c r="AO403" t="s">
        <v>6855</v>
      </c>
      <c r="AP403" t="s">
        <v>6856</v>
      </c>
      <c r="AQ403" t="s">
        <v>74</v>
      </c>
      <c r="AR403" t="s">
        <v>6857</v>
      </c>
      <c r="AS403" t="s">
        <v>6858</v>
      </c>
      <c r="AT403" t="s">
        <v>74</v>
      </c>
      <c r="AU403">
        <v>2008</v>
      </c>
      <c r="AV403">
        <v>179</v>
      </c>
      <c r="AW403">
        <v>3</v>
      </c>
      <c r="AX403" t="s">
        <v>74</v>
      </c>
      <c r="AY403" t="s">
        <v>74</v>
      </c>
      <c r="AZ403" t="s">
        <v>74</v>
      </c>
      <c r="BA403" t="s">
        <v>74</v>
      </c>
      <c r="BB403">
        <v>776</v>
      </c>
      <c r="BC403">
        <v>783</v>
      </c>
      <c r="BD403" t="s">
        <v>74</v>
      </c>
      <c r="BE403" t="s">
        <v>6859</v>
      </c>
      <c r="BF403" t="str">
        <f>HYPERLINK("http://dx.doi.org/10.1111/j.1469-8137.2008.02499.x","http://dx.doi.org/10.1111/j.1469-8137.2008.02499.x")</f>
        <v>http://dx.doi.org/10.1111/j.1469-8137.2008.02499.x</v>
      </c>
      <c r="BG403" t="s">
        <v>74</v>
      </c>
      <c r="BH403" t="s">
        <v>74</v>
      </c>
      <c r="BI403">
        <v>8</v>
      </c>
      <c r="BJ403" t="s">
        <v>6860</v>
      </c>
      <c r="BK403" t="s">
        <v>97</v>
      </c>
      <c r="BL403" t="s">
        <v>6860</v>
      </c>
      <c r="BM403" t="s">
        <v>6861</v>
      </c>
      <c r="BN403">
        <v>18513223</v>
      </c>
      <c r="BO403" t="s">
        <v>610</v>
      </c>
      <c r="BP403" t="s">
        <v>74</v>
      </c>
      <c r="BQ403" t="s">
        <v>74</v>
      </c>
      <c r="BR403" t="s">
        <v>100</v>
      </c>
      <c r="BS403" t="s">
        <v>6862</v>
      </c>
      <c r="BT403" t="str">
        <f>HYPERLINK("https%3A%2F%2Fwww.webofscience.com%2Fwos%2Fwoscc%2Ffull-record%2FWOS:000257706000023","View Full Record in Web of Science")</f>
        <v>View Full Record in Web of Science</v>
      </c>
    </row>
    <row r="404" spans="1:72" x14ac:dyDescent="0.15">
      <c r="A404" t="s">
        <v>816</v>
      </c>
      <c r="B404" t="s">
        <v>6863</v>
      </c>
      <c r="C404" t="s">
        <v>74</v>
      </c>
      <c r="D404" t="s">
        <v>6864</v>
      </c>
      <c r="E404" t="s">
        <v>74</v>
      </c>
      <c r="F404" t="s">
        <v>6865</v>
      </c>
      <c r="G404" t="s">
        <v>74</v>
      </c>
      <c r="H404" t="s">
        <v>74</v>
      </c>
      <c r="I404" t="s">
        <v>6866</v>
      </c>
      <c r="J404" t="s">
        <v>6867</v>
      </c>
      <c r="K404" t="s">
        <v>74</v>
      </c>
      <c r="L404" t="s">
        <v>74</v>
      </c>
      <c r="M404" t="s">
        <v>78</v>
      </c>
      <c r="N404" t="s">
        <v>823</v>
      </c>
      <c r="O404" t="s">
        <v>6868</v>
      </c>
      <c r="P404" t="s">
        <v>6869</v>
      </c>
      <c r="Q404" t="s">
        <v>1809</v>
      </c>
      <c r="R404" t="s">
        <v>74</v>
      </c>
      <c r="S404" t="s">
        <v>74</v>
      </c>
      <c r="T404" t="s">
        <v>6870</v>
      </c>
      <c r="U404" t="s">
        <v>6871</v>
      </c>
      <c r="V404" t="s">
        <v>6872</v>
      </c>
      <c r="W404" t="s">
        <v>6873</v>
      </c>
      <c r="X404" t="s">
        <v>6874</v>
      </c>
      <c r="Y404" t="s">
        <v>6875</v>
      </c>
      <c r="Z404" t="s">
        <v>74</v>
      </c>
      <c r="AA404" t="s">
        <v>74</v>
      </c>
      <c r="AB404" t="s">
        <v>1155</v>
      </c>
      <c r="AC404" t="s">
        <v>74</v>
      </c>
      <c r="AD404" t="s">
        <v>74</v>
      </c>
      <c r="AE404" t="s">
        <v>74</v>
      </c>
      <c r="AF404" t="s">
        <v>74</v>
      </c>
      <c r="AG404">
        <v>8</v>
      </c>
      <c r="AH404">
        <v>0</v>
      </c>
      <c r="AI404">
        <v>0</v>
      </c>
      <c r="AJ404">
        <v>0</v>
      </c>
      <c r="AK404">
        <v>2</v>
      </c>
      <c r="AL404" t="s">
        <v>6876</v>
      </c>
      <c r="AM404" t="s">
        <v>6877</v>
      </c>
      <c r="AN404" t="s">
        <v>6878</v>
      </c>
      <c r="AO404" t="s">
        <v>74</v>
      </c>
      <c r="AP404" t="s">
        <v>74</v>
      </c>
      <c r="AQ404" t="s">
        <v>6879</v>
      </c>
      <c r="AR404" t="s">
        <v>74</v>
      </c>
      <c r="AS404" t="s">
        <v>74</v>
      </c>
      <c r="AT404" t="s">
        <v>74</v>
      </c>
      <c r="AU404">
        <v>2008</v>
      </c>
      <c r="AV404" t="s">
        <v>74</v>
      </c>
      <c r="AW404" t="s">
        <v>74</v>
      </c>
      <c r="AX404" t="s">
        <v>74</v>
      </c>
      <c r="AY404" t="s">
        <v>74</v>
      </c>
      <c r="AZ404" t="s">
        <v>74</v>
      </c>
      <c r="BA404" t="s">
        <v>74</v>
      </c>
      <c r="BB404">
        <v>193</v>
      </c>
      <c r="BC404">
        <v>201</v>
      </c>
      <c r="BD404" t="s">
        <v>74</v>
      </c>
      <c r="BE404" t="s">
        <v>74</v>
      </c>
      <c r="BF404" t="s">
        <v>74</v>
      </c>
      <c r="BG404" t="s">
        <v>74</v>
      </c>
      <c r="BH404" t="s">
        <v>74</v>
      </c>
      <c r="BI404">
        <v>9</v>
      </c>
      <c r="BJ404" t="s">
        <v>351</v>
      </c>
      <c r="BK404" t="s">
        <v>842</v>
      </c>
      <c r="BL404" t="s">
        <v>351</v>
      </c>
      <c r="BM404" t="s">
        <v>6880</v>
      </c>
      <c r="BN404" t="s">
        <v>74</v>
      </c>
      <c r="BO404" t="s">
        <v>74</v>
      </c>
      <c r="BP404" t="s">
        <v>74</v>
      </c>
      <c r="BQ404" t="s">
        <v>74</v>
      </c>
      <c r="BR404" t="s">
        <v>100</v>
      </c>
      <c r="BS404" t="s">
        <v>6881</v>
      </c>
      <c r="BT404" t="str">
        <f>HYPERLINK("https%3A%2F%2Fwww.webofscience.com%2Fwos%2Fwoscc%2Ffull-record%2FWOS:000255181400025","View Full Record in Web of Science")</f>
        <v>View Full Record in Web of Science</v>
      </c>
    </row>
    <row r="405" spans="1:72" x14ac:dyDescent="0.15">
      <c r="A405" t="s">
        <v>810</v>
      </c>
      <c r="B405" t="s">
        <v>6882</v>
      </c>
      <c r="C405" t="s">
        <v>6883</v>
      </c>
      <c r="D405" t="s">
        <v>74</v>
      </c>
      <c r="E405" t="s">
        <v>74</v>
      </c>
      <c r="F405" t="s">
        <v>6884</v>
      </c>
      <c r="G405" t="s">
        <v>6883</v>
      </c>
      <c r="H405" t="s">
        <v>74</v>
      </c>
      <c r="I405" t="s">
        <v>6885</v>
      </c>
      <c r="J405" t="s">
        <v>6886</v>
      </c>
      <c r="K405" t="s">
        <v>74</v>
      </c>
      <c r="L405" t="s">
        <v>74</v>
      </c>
      <c r="M405" t="s">
        <v>78</v>
      </c>
      <c r="N405" t="s">
        <v>1524</v>
      </c>
      <c r="O405" t="s">
        <v>74</v>
      </c>
      <c r="P405" t="s">
        <v>74</v>
      </c>
      <c r="Q405" t="s">
        <v>74</v>
      </c>
      <c r="R405" t="s">
        <v>74</v>
      </c>
      <c r="S405" t="s">
        <v>74</v>
      </c>
      <c r="T405" t="s">
        <v>74</v>
      </c>
      <c r="U405" t="s">
        <v>6887</v>
      </c>
      <c r="V405" t="s">
        <v>74</v>
      </c>
      <c r="W405" t="s">
        <v>6888</v>
      </c>
      <c r="X405" t="s">
        <v>6889</v>
      </c>
      <c r="Y405" t="s">
        <v>6890</v>
      </c>
      <c r="Z405" t="s">
        <v>74</v>
      </c>
      <c r="AA405" t="s">
        <v>74</v>
      </c>
      <c r="AB405" t="s">
        <v>74</v>
      </c>
      <c r="AC405" t="s">
        <v>74</v>
      </c>
      <c r="AD405" t="s">
        <v>74</v>
      </c>
      <c r="AE405" t="s">
        <v>74</v>
      </c>
      <c r="AF405" t="s">
        <v>74</v>
      </c>
      <c r="AG405">
        <v>189</v>
      </c>
      <c r="AH405">
        <v>19</v>
      </c>
      <c r="AI405">
        <v>20</v>
      </c>
      <c r="AJ405">
        <v>2</v>
      </c>
      <c r="AK405">
        <v>14</v>
      </c>
      <c r="AL405" t="s">
        <v>1531</v>
      </c>
      <c r="AM405" t="s">
        <v>1532</v>
      </c>
      <c r="AN405" t="s">
        <v>1533</v>
      </c>
      <c r="AO405" t="s">
        <v>74</v>
      </c>
      <c r="AP405" t="s">
        <v>74</v>
      </c>
      <c r="AQ405" t="s">
        <v>6891</v>
      </c>
      <c r="AR405" t="s">
        <v>74</v>
      </c>
      <c r="AS405" t="s">
        <v>74</v>
      </c>
      <c r="AT405" t="s">
        <v>74</v>
      </c>
      <c r="AU405">
        <v>2008</v>
      </c>
      <c r="AV405" t="s">
        <v>74</v>
      </c>
      <c r="AW405" t="s">
        <v>74</v>
      </c>
      <c r="AX405" t="s">
        <v>74</v>
      </c>
      <c r="AY405" t="s">
        <v>74</v>
      </c>
      <c r="AZ405" t="s">
        <v>74</v>
      </c>
      <c r="BA405" t="s">
        <v>74</v>
      </c>
      <c r="BB405">
        <v>569</v>
      </c>
      <c r="BC405">
        <v>596</v>
      </c>
      <c r="BD405" t="s">
        <v>74</v>
      </c>
      <c r="BE405" t="s">
        <v>6892</v>
      </c>
      <c r="BF405" t="str">
        <f>HYPERLINK("http://dx.doi.org/10.1016/B978-0-12-372522-6.00012-8","http://dx.doi.org/10.1016/B978-0-12-372522-6.00012-8")</f>
        <v>http://dx.doi.org/10.1016/B978-0-12-372522-6.00012-8</v>
      </c>
      <c r="BG405" t="s">
        <v>74</v>
      </c>
      <c r="BH405" t="s">
        <v>74</v>
      </c>
      <c r="BI405">
        <v>28</v>
      </c>
      <c r="BJ405" t="s">
        <v>6893</v>
      </c>
      <c r="BK405" t="s">
        <v>1537</v>
      </c>
      <c r="BL405" t="s">
        <v>6894</v>
      </c>
      <c r="BM405" t="s">
        <v>6895</v>
      </c>
      <c r="BN405" t="s">
        <v>74</v>
      </c>
      <c r="BO405" t="s">
        <v>74</v>
      </c>
      <c r="BP405" t="s">
        <v>74</v>
      </c>
      <c r="BQ405" t="s">
        <v>74</v>
      </c>
      <c r="BR405" t="s">
        <v>100</v>
      </c>
      <c r="BS405" t="s">
        <v>6896</v>
      </c>
      <c r="BT405" t="str">
        <f>HYPERLINK("https%3A%2F%2Fwww.webofscience.com%2Fwos%2Fwoscc%2Ffull-record%2FWOS:000310915600014","View Full Record in Web of Science")</f>
        <v>View Full Record in Web of Science</v>
      </c>
    </row>
    <row r="406" spans="1:72" x14ac:dyDescent="0.15">
      <c r="A406" t="s">
        <v>72</v>
      </c>
      <c r="B406" t="s">
        <v>6897</v>
      </c>
      <c r="C406" t="s">
        <v>74</v>
      </c>
      <c r="D406" t="s">
        <v>74</v>
      </c>
      <c r="E406" t="s">
        <v>74</v>
      </c>
      <c r="F406" t="s">
        <v>6898</v>
      </c>
      <c r="G406" t="s">
        <v>74</v>
      </c>
      <c r="H406" t="s">
        <v>74</v>
      </c>
      <c r="I406" t="s">
        <v>6899</v>
      </c>
      <c r="J406" t="s">
        <v>6900</v>
      </c>
      <c r="K406" t="s">
        <v>74</v>
      </c>
      <c r="L406" t="s">
        <v>74</v>
      </c>
      <c r="M406" t="s">
        <v>78</v>
      </c>
      <c r="N406" t="s">
        <v>79</v>
      </c>
      <c r="O406" t="s">
        <v>74</v>
      </c>
      <c r="P406" t="s">
        <v>74</v>
      </c>
      <c r="Q406" t="s">
        <v>74</v>
      </c>
      <c r="R406" t="s">
        <v>74</v>
      </c>
      <c r="S406" t="s">
        <v>74</v>
      </c>
      <c r="T406" t="s">
        <v>6901</v>
      </c>
      <c r="U406" t="s">
        <v>6902</v>
      </c>
      <c r="V406" t="s">
        <v>6903</v>
      </c>
      <c r="W406" t="s">
        <v>6904</v>
      </c>
      <c r="X406" t="s">
        <v>6905</v>
      </c>
      <c r="Y406" t="s">
        <v>6906</v>
      </c>
      <c r="Z406" t="s">
        <v>6907</v>
      </c>
      <c r="AA406" t="s">
        <v>74</v>
      </c>
      <c r="AB406" t="s">
        <v>74</v>
      </c>
      <c r="AC406" t="s">
        <v>74</v>
      </c>
      <c r="AD406" t="s">
        <v>74</v>
      </c>
      <c r="AE406" t="s">
        <v>74</v>
      </c>
      <c r="AF406" t="s">
        <v>74</v>
      </c>
      <c r="AG406">
        <v>40</v>
      </c>
      <c r="AH406">
        <v>27</v>
      </c>
      <c r="AI406">
        <v>28</v>
      </c>
      <c r="AJ406">
        <v>1</v>
      </c>
      <c r="AK406">
        <v>15</v>
      </c>
      <c r="AL406" t="s">
        <v>6908</v>
      </c>
      <c r="AM406" t="s">
        <v>6667</v>
      </c>
      <c r="AN406" t="s">
        <v>6909</v>
      </c>
      <c r="AO406" t="s">
        <v>6910</v>
      </c>
      <c r="AP406" t="s">
        <v>6911</v>
      </c>
      <c r="AQ406" t="s">
        <v>74</v>
      </c>
      <c r="AR406" t="s">
        <v>6900</v>
      </c>
      <c r="AS406" t="s">
        <v>6912</v>
      </c>
      <c r="AT406" t="s">
        <v>74</v>
      </c>
      <c r="AU406">
        <v>2008</v>
      </c>
      <c r="AV406" t="s">
        <v>74</v>
      </c>
      <c r="AW406" t="s">
        <v>74</v>
      </c>
      <c r="AX406" t="s">
        <v>74</v>
      </c>
      <c r="AY406">
        <v>133</v>
      </c>
      <c r="AZ406" t="s">
        <v>74</v>
      </c>
      <c r="BA406" t="s">
        <v>74</v>
      </c>
      <c r="BB406">
        <v>147</v>
      </c>
      <c r="BC406">
        <v>160</v>
      </c>
      <c r="BD406" t="s">
        <v>74</v>
      </c>
      <c r="BE406" t="s">
        <v>74</v>
      </c>
      <c r="BF406" t="s">
        <v>74</v>
      </c>
      <c r="BG406" t="s">
        <v>74</v>
      </c>
      <c r="BH406" t="s">
        <v>74</v>
      </c>
      <c r="BI406">
        <v>14</v>
      </c>
      <c r="BJ406" t="s">
        <v>6860</v>
      </c>
      <c r="BK406" t="s">
        <v>97</v>
      </c>
      <c r="BL406" t="s">
        <v>6860</v>
      </c>
      <c r="BM406" t="s">
        <v>6913</v>
      </c>
      <c r="BN406" t="s">
        <v>74</v>
      </c>
      <c r="BO406" t="s">
        <v>74</v>
      </c>
      <c r="BP406" t="s">
        <v>74</v>
      </c>
      <c r="BQ406" t="s">
        <v>74</v>
      </c>
      <c r="BR406" t="s">
        <v>100</v>
      </c>
      <c r="BS406" t="s">
        <v>6914</v>
      </c>
      <c r="BT406" t="str">
        <f>HYPERLINK("https%3A%2F%2Fwww.webofscience.com%2Fwos%2Fwoscc%2Ffull-record%2FWOS:000254166200015","View Full Record in Web of Science")</f>
        <v>View Full Record in Web of Science</v>
      </c>
    </row>
    <row r="407" spans="1:72" x14ac:dyDescent="0.15">
      <c r="A407" t="s">
        <v>72</v>
      </c>
      <c r="B407" t="s">
        <v>6915</v>
      </c>
      <c r="C407" t="s">
        <v>74</v>
      </c>
      <c r="D407" t="s">
        <v>74</v>
      </c>
      <c r="E407" t="s">
        <v>74</v>
      </c>
      <c r="F407" t="s">
        <v>6916</v>
      </c>
      <c r="G407" t="s">
        <v>74</v>
      </c>
      <c r="H407" t="s">
        <v>74</v>
      </c>
      <c r="I407" t="s">
        <v>6917</v>
      </c>
      <c r="J407" t="s">
        <v>6900</v>
      </c>
      <c r="K407" t="s">
        <v>74</v>
      </c>
      <c r="L407" t="s">
        <v>74</v>
      </c>
      <c r="M407" t="s">
        <v>78</v>
      </c>
      <c r="N407" t="s">
        <v>79</v>
      </c>
      <c r="O407" t="s">
        <v>74</v>
      </c>
      <c r="P407" t="s">
        <v>74</v>
      </c>
      <c r="Q407" t="s">
        <v>74</v>
      </c>
      <c r="R407" t="s">
        <v>74</v>
      </c>
      <c r="S407" t="s">
        <v>74</v>
      </c>
      <c r="T407" t="s">
        <v>6918</v>
      </c>
      <c r="U407" t="s">
        <v>6919</v>
      </c>
      <c r="V407" t="s">
        <v>6920</v>
      </c>
      <c r="W407" t="s">
        <v>6921</v>
      </c>
      <c r="X407" t="s">
        <v>6922</v>
      </c>
      <c r="Y407" t="s">
        <v>6923</v>
      </c>
      <c r="Z407" t="s">
        <v>6924</v>
      </c>
      <c r="AA407" t="s">
        <v>74</v>
      </c>
      <c r="AB407" t="s">
        <v>74</v>
      </c>
      <c r="AC407" t="s">
        <v>74</v>
      </c>
      <c r="AD407" t="s">
        <v>74</v>
      </c>
      <c r="AE407" t="s">
        <v>74</v>
      </c>
      <c r="AF407" t="s">
        <v>74</v>
      </c>
      <c r="AG407">
        <v>68</v>
      </c>
      <c r="AH407">
        <v>5</v>
      </c>
      <c r="AI407">
        <v>6</v>
      </c>
      <c r="AJ407">
        <v>0</v>
      </c>
      <c r="AK407">
        <v>12</v>
      </c>
      <c r="AL407" t="s">
        <v>6908</v>
      </c>
      <c r="AM407" t="s">
        <v>6667</v>
      </c>
      <c r="AN407" t="s">
        <v>6909</v>
      </c>
      <c r="AO407" t="s">
        <v>6910</v>
      </c>
      <c r="AP407" t="s">
        <v>74</v>
      </c>
      <c r="AQ407" t="s">
        <v>74</v>
      </c>
      <c r="AR407" t="s">
        <v>6900</v>
      </c>
      <c r="AS407" t="s">
        <v>6912</v>
      </c>
      <c r="AT407" t="s">
        <v>74</v>
      </c>
      <c r="AU407">
        <v>2008</v>
      </c>
      <c r="AV407" t="s">
        <v>74</v>
      </c>
      <c r="AW407" t="s">
        <v>74</v>
      </c>
      <c r="AX407" t="s">
        <v>74</v>
      </c>
      <c r="AY407">
        <v>133</v>
      </c>
      <c r="AZ407" t="s">
        <v>74</v>
      </c>
      <c r="BA407" t="s">
        <v>74</v>
      </c>
      <c r="BB407">
        <v>187</v>
      </c>
      <c r="BC407">
        <v>216</v>
      </c>
      <c r="BD407" t="s">
        <v>74</v>
      </c>
      <c r="BE407" t="s">
        <v>74</v>
      </c>
      <c r="BF407" t="s">
        <v>74</v>
      </c>
      <c r="BG407" t="s">
        <v>74</v>
      </c>
      <c r="BH407" t="s">
        <v>74</v>
      </c>
      <c r="BI407">
        <v>30</v>
      </c>
      <c r="BJ407" t="s">
        <v>6860</v>
      </c>
      <c r="BK407" t="s">
        <v>97</v>
      </c>
      <c r="BL407" t="s">
        <v>6860</v>
      </c>
      <c r="BM407" t="s">
        <v>6913</v>
      </c>
      <c r="BN407" t="s">
        <v>74</v>
      </c>
      <c r="BO407" t="s">
        <v>74</v>
      </c>
      <c r="BP407" t="s">
        <v>74</v>
      </c>
      <c r="BQ407" t="s">
        <v>74</v>
      </c>
      <c r="BR407" t="s">
        <v>100</v>
      </c>
      <c r="BS407" t="s">
        <v>6925</v>
      </c>
      <c r="BT407" t="str">
        <f>HYPERLINK("https%3A%2F%2Fwww.webofscience.com%2Fwos%2Fwoscc%2Ffull-record%2FWOS:000254166200018","View Full Record in Web of Science")</f>
        <v>View Full Record in Web of Science</v>
      </c>
    </row>
    <row r="408" spans="1:72" x14ac:dyDescent="0.15">
      <c r="A408" t="s">
        <v>72</v>
      </c>
      <c r="B408" t="s">
        <v>6926</v>
      </c>
      <c r="C408" t="s">
        <v>74</v>
      </c>
      <c r="D408" t="s">
        <v>74</v>
      </c>
      <c r="E408" t="s">
        <v>74</v>
      </c>
      <c r="F408" t="s">
        <v>6927</v>
      </c>
      <c r="G408" t="s">
        <v>74</v>
      </c>
      <c r="H408" t="s">
        <v>74</v>
      </c>
      <c r="I408" t="s">
        <v>6928</v>
      </c>
      <c r="J408" t="s">
        <v>6900</v>
      </c>
      <c r="K408" t="s">
        <v>74</v>
      </c>
      <c r="L408" t="s">
        <v>74</v>
      </c>
      <c r="M408" t="s">
        <v>78</v>
      </c>
      <c r="N408" t="s">
        <v>79</v>
      </c>
      <c r="O408" t="s">
        <v>74</v>
      </c>
      <c r="P408" t="s">
        <v>74</v>
      </c>
      <c r="Q408" t="s">
        <v>74</v>
      </c>
      <c r="R408" t="s">
        <v>74</v>
      </c>
      <c r="S408" t="s">
        <v>74</v>
      </c>
      <c r="T408" t="s">
        <v>6929</v>
      </c>
      <c r="U408" t="s">
        <v>6930</v>
      </c>
      <c r="V408" t="s">
        <v>6931</v>
      </c>
      <c r="W408" t="s">
        <v>6932</v>
      </c>
      <c r="X408" t="s">
        <v>6933</v>
      </c>
      <c r="Y408" t="s">
        <v>6934</v>
      </c>
      <c r="Z408" t="s">
        <v>6935</v>
      </c>
      <c r="AA408" t="s">
        <v>6936</v>
      </c>
      <c r="AB408" t="s">
        <v>6937</v>
      </c>
      <c r="AC408" t="s">
        <v>74</v>
      </c>
      <c r="AD408" t="s">
        <v>74</v>
      </c>
      <c r="AE408" t="s">
        <v>74</v>
      </c>
      <c r="AF408" t="s">
        <v>74</v>
      </c>
      <c r="AG408">
        <v>59</v>
      </c>
      <c r="AH408">
        <v>26</v>
      </c>
      <c r="AI408">
        <v>29</v>
      </c>
      <c r="AJ408">
        <v>0</v>
      </c>
      <c r="AK408">
        <v>20</v>
      </c>
      <c r="AL408" t="s">
        <v>6908</v>
      </c>
      <c r="AM408" t="s">
        <v>6667</v>
      </c>
      <c r="AN408" t="s">
        <v>6909</v>
      </c>
      <c r="AO408" t="s">
        <v>6910</v>
      </c>
      <c r="AP408" t="s">
        <v>6911</v>
      </c>
      <c r="AQ408" t="s">
        <v>74</v>
      </c>
      <c r="AR408" t="s">
        <v>6900</v>
      </c>
      <c r="AS408" t="s">
        <v>6912</v>
      </c>
      <c r="AT408" t="s">
        <v>74</v>
      </c>
      <c r="AU408">
        <v>2008</v>
      </c>
      <c r="AV408" t="s">
        <v>74</v>
      </c>
      <c r="AW408" t="s">
        <v>74</v>
      </c>
      <c r="AX408" t="s">
        <v>74</v>
      </c>
      <c r="AY408">
        <v>133</v>
      </c>
      <c r="AZ408" t="s">
        <v>74</v>
      </c>
      <c r="BA408" t="s">
        <v>74</v>
      </c>
      <c r="BB408">
        <v>231</v>
      </c>
      <c r="BC408">
        <v>250</v>
      </c>
      <c r="BD408" t="s">
        <v>74</v>
      </c>
      <c r="BE408" t="s">
        <v>74</v>
      </c>
      <c r="BF408" t="s">
        <v>74</v>
      </c>
      <c r="BG408" t="s">
        <v>74</v>
      </c>
      <c r="BH408" t="s">
        <v>74</v>
      </c>
      <c r="BI408">
        <v>20</v>
      </c>
      <c r="BJ408" t="s">
        <v>6860</v>
      </c>
      <c r="BK408" t="s">
        <v>97</v>
      </c>
      <c r="BL408" t="s">
        <v>6860</v>
      </c>
      <c r="BM408" t="s">
        <v>6913</v>
      </c>
      <c r="BN408" t="s">
        <v>74</v>
      </c>
      <c r="BO408" t="s">
        <v>74</v>
      </c>
      <c r="BP408" t="s">
        <v>74</v>
      </c>
      <c r="BQ408" t="s">
        <v>74</v>
      </c>
      <c r="BR408" t="s">
        <v>100</v>
      </c>
      <c r="BS408" t="s">
        <v>6938</v>
      </c>
      <c r="BT408" t="str">
        <f>HYPERLINK("https%3A%2F%2Fwww.webofscience.com%2Fwos%2Fwoscc%2Ffull-record%2FWOS:000254166200020","View Full Record in Web of Science")</f>
        <v>View Full Record in Web of Science</v>
      </c>
    </row>
    <row r="409" spans="1:72" x14ac:dyDescent="0.15">
      <c r="A409" t="s">
        <v>816</v>
      </c>
      <c r="B409" t="s">
        <v>6939</v>
      </c>
      <c r="C409" t="s">
        <v>74</v>
      </c>
      <c r="D409" t="s">
        <v>74</v>
      </c>
      <c r="E409" t="s">
        <v>74</v>
      </c>
      <c r="F409" t="s">
        <v>6940</v>
      </c>
      <c r="G409" t="s">
        <v>74</v>
      </c>
      <c r="H409" t="s">
        <v>6941</v>
      </c>
      <c r="I409" t="s">
        <v>6942</v>
      </c>
      <c r="J409" t="s">
        <v>6943</v>
      </c>
      <c r="K409" t="s">
        <v>74</v>
      </c>
      <c r="L409" t="s">
        <v>74</v>
      </c>
      <c r="M409" t="s">
        <v>78</v>
      </c>
      <c r="N409" t="s">
        <v>823</v>
      </c>
      <c r="O409" t="s">
        <v>6944</v>
      </c>
      <c r="P409" t="s">
        <v>6945</v>
      </c>
      <c r="Q409" t="s">
        <v>6946</v>
      </c>
      <c r="R409" t="s">
        <v>74</v>
      </c>
      <c r="S409" t="s">
        <v>74</v>
      </c>
      <c r="T409" t="s">
        <v>74</v>
      </c>
      <c r="U409" t="s">
        <v>74</v>
      </c>
      <c r="V409" t="s">
        <v>6947</v>
      </c>
      <c r="W409" t="s">
        <v>6948</v>
      </c>
      <c r="X409" t="s">
        <v>6949</v>
      </c>
      <c r="Y409" t="s">
        <v>6950</v>
      </c>
      <c r="Z409" t="s">
        <v>74</v>
      </c>
      <c r="AA409" t="s">
        <v>6951</v>
      </c>
      <c r="AB409" t="s">
        <v>74</v>
      </c>
      <c r="AC409" t="s">
        <v>74</v>
      </c>
      <c r="AD409" t="s">
        <v>74</v>
      </c>
      <c r="AE409" t="s">
        <v>74</v>
      </c>
      <c r="AF409" t="s">
        <v>74</v>
      </c>
      <c r="AG409">
        <v>19</v>
      </c>
      <c r="AH409">
        <v>3</v>
      </c>
      <c r="AI409">
        <v>4</v>
      </c>
      <c r="AJ409">
        <v>0</v>
      </c>
      <c r="AK409">
        <v>0</v>
      </c>
      <c r="AL409" t="s">
        <v>506</v>
      </c>
      <c r="AM409" t="s">
        <v>266</v>
      </c>
      <c r="AN409" t="s">
        <v>507</v>
      </c>
      <c r="AO409" t="s">
        <v>6952</v>
      </c>
      <c r="AP409" t="s">
        <v>74</v>
      </c>
      <c r="AQ409" t="s">
        <v>74</v>
      </c>
      <c r="AR409" t="s">
        <v>6953</v>
      </c>
      <c r="AS409" t="s">
        <v>6954</v>
      </c>
      <c r="AT409" t="s">
        <v>1490</v>
      </c>
      <c r="AU409">
        <v>2008</v>
      </c>
      <c r="AV409">
        <v>175</v>
      </c>
      <c r="AW409" t="s">
        <v>74</v>
      </c>
      <c r="AX409" t="s">
        <v>74</v>
      </c>
      <c r="AY409" t="s">
        <v>74</v>
      </c>
      <c r="AZ409" t="s">
        <v>74</v>
      </c>
      <c r="BA409" t="s">
        <v>74</v>
      </c>
      <c r="BB409">
        <v>401</v>
      </c>
      <c r="BC409">
        <v>406</v>
      </c>
      <c r="BD409" t="s">
        <v>74</v>
      </c>
      <c r="BE409" t="s">
        <v>6955</v>
      </c>
      <c r="BF409" t="str">
        <f>HYPERLINK("http://dx.doi.org/10.1016/j.nuclphysbps.2007.11.039","http://dx.doi.org/10.1016/j.nuclphysbps.2007.11.039")</f>
        <v>http://dx.doi.org/10.1016/j.nuclphysbps.2007.11.039</v>
      </c>
      <c r="BG409" t="s">
        <v>74</v>
      </c>
      <c r="BH409" t="s">
        <v>74</v>
      </c>
      <c r="BI409">
        <v>6</v>
      </c>
      <c r="BJ409" t="s">
        <v>6956</v>
      </c>
      <c r="BK409" t="s">
        <v>842</v>
      </c>
      <c r="BL409" t="s">
        <v>813</v>
      </c>
      <c r="BM409" t="s">
        <v>6957</v>
      </c>
      <c r="BN409" t="s">
        <v>74</v>
      </c>
      <c r="BO409" t="s">
        <v>74</v>
      </c>
      <c r="BP409" t="s">
        <v>74</v>
      </c>
      <c r="BQ409" t="s">
        <v>74</v>
      </c>
      <c r="BR409" t="s">
        <v>100</v>
      </c>
      <c r="BS409" t="s">
        <v>6958</v>
      </c>
      <c r="BT409" t="str">
        <f>HYPERLINK("https%3A%2F%2Fwww.webofscience.com%2Fwos%2Fwoscc%2Ffull-record%2FWOS:000252975800077","View Full Record in Web of Science")</f>
        <v>View Full Record in Web of Science</v>
      </c>
    </row>
    <row r="410" spans="1:72" x14ac:dyDescent="0.15">
      <c r="A410" t="s">
        <v>816</v>
      </c>
      <c r="B410" t="s">
        <v>6959</v>
      </c>
      <c r="C410" t="s">
        <v>74</v>
      </c>
      <c r="D410" t="s">
        <v>6960</v>
      </c>
      <c r="E410" t="s">
        <v>74</v>
      </c>
      <c r="F410" t="s">
        <v>6961</v>
      </c>
      <c r="G410" t="s">
        <v>74</v>
      </c>
      <c r="H410" t="s">
        <v>74</v>
      </c>
      <c r="I410" t="s">
        <v>6962</v>
      </c>
      <c r="J410" t="s">
        <v>6963</v>
      </c>
      <c r="K410" t="s">
        <v>1344</v>
      </c>
      <c r="L410" t="s">
        <v>74</v>
      </c>
      <c r="M410" t="s">
        <v>78</v>
      </c>
      <c r="N410" t="s">
        <v>823</v>
      </c>
      <c r="O410" t="s">
        <v>6964</v>
      </c>
      <c r="P410" t="s">
        <v>6965</v>
      </c>
      <c r="Q410" t="s">
        <v>1347</v>
      </c>
      <c r="R410" t="s">
        <v>74</v>
      </c>
      <c r="S410" t="s">
        <v>74</v>
      </c>
      <c r="T410" t="s">
        <v>74</v>
      </c>
      <c r="U410" t="s">
        <v>6966</v>
      </c>
      <c r="V410" t="s">
        <v>6967</v>
      </c>
      <c r="W410" t="s">
        <v>6968</v>
      </c>
      <c r="X410" t="s">
        <v>6969</v>
      </c>
      <c r="Y410" t="s">
        <v>6875</v>
      </c>
      <c r="Z410" t="s">
        <v>74</v>
      </c>
      <c r="AA410" t="s">
        <v>1114</v>
      </c>
      <c r="AB410" t="s">
        <v>6970</v>
      </c>
      <c r="AC410" t="s">
        <v>74</v>
      </c>
      <c r="AD410" t="s">
        <v>74</v>
      </c>
      <c r="AE410" t="s">
        <v>74</v>
      </c>
      <c r="AF410" t="s">
        <v>74</v>
      </c>
      <c r="AG410">
        <v>18</v>
      </c>
      <c r="AH410">
        <v>0</v>
      </c>
      <c r="AI410">
        <v>0</v>
      </c>
      <c r="AJ410">
        <v>0</v>
      </c>
      <c r="AK410">
        <v>1</v>
      </c>
      <c r="AL410" t="s">
        <v>1354</v>
      </c>
      <c r="AM410" t="s">
        <v>1355</v>
      </c>
      <c r="AN410" t="s">
        <v>1356</v>
      </c>
      <c r="AO410" t="s">
        <v>1357</v>
      </c>
      <c r="AP410" t="s">
        <v>74</v>
      </c>
      <c r="AQ410" t="s">
        <v>6971</v>
      </c>
      <c r="AR410" t="s">
        <v>1360</v>
      </c>
      <c r="AS410" t="s">
        <v>74</v>
      </c>
      <c r="AT410" t="s">
        <v>74</v>
      </c>
      <c r="AU410">
        <v>2008</v>
      </c>
      <c r="AV410">
        <v>7016</v>
      </c>
      <c r="AW410" t="s">
        <v>74</v>
      </c>
      <c r="AX410" t="s">
        <v>74</v>
      </c>
      <c r="AY410" t="s">
        <v>74</v>
      </c>
      <c r="AZ410" t="s">
        <v>74</v>
      </c>
      <c r="BA410" t="s">
        <v>74</v>
      </c>
      <c r="BB410" t="s">
        <v>74</v>
      </c>
      <c r="BC410" t="s">
        <v>74</v>
      </c>
      <c r="BD410" t="s">
        <v>6972</v>
      </c>
      <c r="BE410" t="s">
        <v>6973</v>
      </c>
      <c r="BF410" t="str">
        <f>HYPERLINK("http://dx.doi.org/10.1117/12.791908","http://dx.doi.org/10.1117/12.791908")</f>
        <v>http://dx.doi.org/10.1117/12.791908</v>
      </c>
      <c r="BG410" t="s">
        <v>74</v>
      </c>
      <c r="BH410" t="s">
        <v>74</v>
      </c>
      <c r="BI410">
        <v>12</v>
      </c>
      <c r="BJ410" t="s">
        <v>4125</v>
      </c>
      <c r="BK410" t="s">
        <v>842</v>
      </c>
      <c r="BL410" t="s">
        <v>4125</v>
      </c>
      <c r="BM410" t="s">
        <v>6974</v>
      </c>
      <c r="BN410" t="s">
        <v>74</v>
      </c>
      <c r="BO410" t="s">
        <v>74</v>
      </c>
      <c r="BP410" t="s">
        <v>74</v>
      </c>
      <c r="BQ410" t="s">
        <v>74</v>
      </c>
      <c r="BR410" t="s">
        <v>100</v>
      </c>
      <c r="BS410" t="s">
        <v>6975</v>
      </c>
      <c r="BT410" t="str">
        <f>HYPERLINK("https%3A%2F%2Fwww.webofscience.com%2Fwos%2Fwoscc%2Ffull-record%2FWOS:000259924600015","View Full Record in Web of Science")</f>
        <v>View Full Record in Web of Science</v>
      </c>
    </row>
    <row r="411" spans="1:72" x14ac:dyDescent="0.15">
      <c r="A411" t="s">
        <v>816</v>
      </c>
      <c r="B411" t="s">
        <v>6976</v>
      </c>
      <c r="C411" t="s">
        <v>74</v>
      </c>
      <c r="D411" t="s">
        <v>6960</v>
      </c>
      <c r="E411" t="s">
        <v>74</v>
      </c>
      <c r="F411" t="s">
        <v>6977</v>
      </c>
      <c r="G411" t="s">
        <v>74</v>
      </c>
      <c r="H411" t="s">
        <v>74</v>
      </c>
      <c r="I411" t="s">
        <v>6978</v>
      </c>
      <c r="J411" t="s">
        <v>6963</v>
      </c>
      <c r="K411" t="s">
        <v>1344</v>
      </c>
      <c r="L411" t="s">
        <v>74</v>
      </c>
      <c r="M411" t="s">
        <v>78</v>
      </c>
      <c r="N411" t="s">
        <v>823</v>
      </c>
      <c r="O411" t="s">
        <v>6964</v>
      </c>
      <c r="P411" t="s">
        <v>6965</v>
      </c>
      <c r="Q411" t="s">
        <v>1347</v>
      </c>
      <c r="R411" t="s">
        <v>74</v>
      </c>
      <c r="S411" t="s">
        <v>74</v>
      </c>
      <c r="T411" t="s">
        <v>6979</v>
      </c>
      <c r="U411" t="s">
        <v>6980</v>
      </c>
      <c r="V411" t="s">
        <v>6981</v>
      </c>
      <c r="W411" t="s">
        <v>6982</v>
      </c>
      <c r="X411" t="s">
        <v>1068</v>
      </c>
      <c r="Y411" t="s">
        <v>6983</v>
      </c>
      <c r="Z411" t="s">
        <v>6984</v>
      </c>
      <c r="AA411" t="s">
        <v>74</v>
      </c>
      <c r="AB411" t="s">
        <v>4679</v>
      </c>
      <c r="AC411" t="s">
        <v>74</v>
      </c>
      <c r="AD411" t="s">
        <v>74</v>
      </c>
      <c r="AE411" t="s">
        <v>74</v>
      </c>
      <c r="AF411" t="s">
        <v>74</v>
      </c>
      <c r="AG411">
        <v>10</v>
      </c>
      <c r="AH411">
        <v>1</v>
      </c>
      <c r="AI411">
        <v>1</v>
      </c>
      <c r="AJ411">
        <v>0</v>
      </c>
      <c r="AK411">
        <v>0</v>
      </c>
      <c r="AL411" t="s">
        <v>1354</v>
      </c>
      <c r="AM411" t="s">
        <v>1355</v>
      </c>
      <c r="AN411" t="s">
        <v>1356</v>
      </c>
      <c r="AO411" t="s">
        <v>1357</v>
      </c>
      <c r="AP411" t="s">
        <v>1358</v>
      </c>
      <c r="AQ411" t="s">
        <v>6971</v>
      </c>
      <c r="AR411" t="s">
        <v>1360</v>
      </c>
      <c r="AS411" t="s">
        <v>74</v>
      </c>
      <c r="AT411" t="s">
        <v>74</v>
      </c>
      <c r="AU411">
        <v>2008</v>
      </c>
      <c r="AV411">
        <v>7016</v>
      </c>
      <c r="AW411" t="s">
        <v>74</v>
      </c>
      <c r="AX411" t="s">
        <v>74</v>
      </c>
      <c r="AY411" t="s">
        <v>74</v>
      </c>
      <c r="AZ411" t="s">
        <v>74</v>
      </c>
      <c r="BA411" t="s">
        <v>74</v>
      </c>
      <c r="BB411" t="s">
        <v>74</v>
      </c>
      <c r="BC411" t="s">
        <v>74</v>
      </c>
      <c r="BD411" t="s">
        <v>6985</v>
      </c>
      <c r="BE411" t="s">
        <v>6986</v>
      </c>
      <c r="BF411" t="str">
        <f>HYPERLINK("http://dx.doi.org/10.1117/12.788825","http://dx.doi.org/10.1117/12.788825")</f>
        <v>http://dx.doi.org/10.1117/12.788825</v>
      </c>
      <c r="BG411" t="s">
        <v>74</v>
      </c>
      <c r="BH411" t="s">
        <v>74</v>
      </c>
      <c r="BI411">
        <v>12</v>
      </c>
      <c r="BJ411" t="s">
        <v>4125</v>
      </c>
      <c r="BK411" t="s">
        <v>842</v>
      </c>
      <c r="BL411" t="s">
        <v>4125</v>
      </c>
      <c r="BM411" t="s">
        <v>6974</v>
      </c>
      <c r="BN411" t="s">
        <v>74</v>
      </c>
      <c r="BO411" t="s">
        <v>74</v>
      </c>
      <c r="BP411" t="s">
        <v>74</v>
      </c>
      <c r="BQ411" t="s">
        <v>74</v>
      </c>
      <c r="BR411" t="s">
        <v>100</v>
      </c>
      <c r="BS411" t="s">
        <v>6987</v>
      </c>
      <c r="BT411" t="str">
        <f>HYPERLINK("https%3A%2F%2Fwww.webofscience.com%2Fwos%2Fwoscc%2Ffull-record%2FWOS:000259924600014","View Full Record in Web of Science")</f>
        <v>View Full Record in Web of Science</v>
      </c>
    </row>
    <row r="412" spans="1:72" x14ac:dyDescent="0.15">
      <c r="A412" t="s">
        <v>72</v>
      </c>
      <c r="B412" t="s">
        <v>6988</v>
      </c>
      <c r="C412" t="s">
        <v>74</v>
      </c>
      <c r="D412" t="s">
        <v>74</v>
      </c>
      <c r="E412" t="s">
        <v>74</v>
      </c>
      <c r="F412" t="s">
        <v>6989</v>
      </c>
      <c r="G412" t="s">
        <v>74</v>
      </c>
      <c r="H412" t="s">
        <v>74</v>
      </c>
      <c r="I412" t="s">
        <v>6990</v>
      </c>
      <c r="J412" t="s">
        <v>6991</v>
      </c>
      <c r="K412" t="s">
        <v>74</v>
      </c>
      <c r="L412" t="s">
        <v>74</v>
      </c>
      <c r="M412" t="s">
        <v>78</v>
      </c>
      <c r="N412" t="s">
        <v>79</v>
      </c>
      <c r="O412" t="s">
        <v>74</v>
      </c>
      <c r="P412" t="s">
        <v>74</v>
      </c>
      <c r="Q412" t="s">
        <v>74</v>
      </c>
      <c r="R412" t="s">
        <v>74</v>
      </c>
      <c r="S412" t="s">
        <v>74</v>
      </c>
      <c r="T412" t="s">
        <v>74</v>
      </c>
      <c r="U412" t="s">
        <v>6992</v>
      </c>
      <c r="V412" t="s">
        <v>6993</v>
      </c>
      <c r="W412" t="s">
        <v>6994</v>
      </c>
      <c r="X412" t="s">
        <v>6995</v>
      </c>
      <c r="Y412" t="s">
        <v>6996</v>
      </c>
      <c r="Z412" t="s">
        <v>6997</v>
      </c>
      <c r="AA412" t="s">
        <v>6998</v>
      </c>
      <c r="AB412" t="s">
        <v>6999</v>
      </c>
      <c r="AC412" t="s">
        <v>241</v>
      </c>
      <c r="AD412" t="s">
        <v>242</v>
      </c>
      <c r="AE412" t="s">
        <v>74</v>
      </c>
      <c r="AF412" t="s">
        <v>74</v>
      </c>
      <c r="AG412">
        <v>29</v>
      </c>
      <c r="AH412">
        <v>19</v>
      </c>
      <c r="AI412">
        <v>20</v>
      </c>
      <c r="AJ412">
        <v>0</v>
      </c>
      <c r="AK412">
        <v>13</v>
      </c>
      <c r="AL412" t="s">
        <v>1552</v>
      </c>
      <c r="AM412" t="s">
        <v>1553</v>
      </c>
      <c r="AN412" t="s">
        <v>1554</v>
      </c>
      <c r="AO412" t="s">
        <v>7000</v>
      </c>
      <c r="AP412" t="s">
        <v>74</v>
      </c>
      <c r="AQ412" t="s">
        <v>74</v>
      </c>
      <c r="AR412" t="s">
        <v>7001</v>
      </c>
      <c r="AS412" t="s">
        <v>7002</v>
      </c>
      <c r="AT412" t="s">
        <v>74</v>
      </c>
      <c r="AU412">
        <v>2008</v>
      </c>
      <c r="AV412">
        <v>4</v>
      </c>
      <c r="AW412">
        <v>1</v>
      </c>
      <c r="AX412" t="s">
        <v>74</v>
      </c>
      <c r="AY412" t="s">
        <v>74</v>
      </c>
      <c r="AZ412" t="s">
        <v>74</v>
      </c>
      <c r="BA412" t="s">
        <v>74</v>
      </c>
      <c r="BB412">
        <v>89</v>
      </c>
      <c r="BC412">
        <v>98</v>
      </c>
      <c r="BD412" t="s">
        <v>74</v>
      </c>
      <c r="BE412" t="s">
        <v>7003</v>
      </c>
      <c r="BF412" t="str">
        <f>HYPERLINK("http://dx.doi.org/10.5194/os-4-89-2008","http://dx.doi.org/10.5194/os-4-89-2008")</f>
        <v>http://dx.doi.org/10.5194/os-4-89-2008</v>
      </c>
      <c r="BG412" t="s">
        <v>74</v>
      </c>
      <c r="BH412" t="s">
        <v>74</v>
      </c>
      <c r="BI412">
        <v>10</v>
      </c>
      <c r="BJ412" t="s">
        <v>7004</v>
      </c>
      <c r="BK412" t="s">
        <v>97</v>
      </c>
      <c r="BL412" t="s">
        <v>7004</v>
      </c>
      <c r="BM412" t="s">
        <v>7005</v>
      </c>
      <c r="BN412" t="s">
        <v>74</v>
      </c>
      <c r="BO412" t="s">
        <v>7006</v>
      </c>
      <c r="BP412" t="s">
        <v>74</v>
      </c>
      <c r="BQ412" t="s">
        <v>74</v>
      </c>
      <c r="BR412" t="s">
        <v>100</v>
      </c>
      <c r="BS412" t="s">
        <v>7007</v>
      </c>
      <c r="BT412" t="str">
        <f>HYPERLINK("https%3A%2F%2Fwww.webofscience.com%2Fwos%2Fwoscc%2Ffull-record%2FWOS:000255011700001","View Full Record in Web of Science")</f>
        <v>View Full Record in Web of Science</v>
      </c>
    </row>
    <row r="413" spans="1:72" x14ac:dyDescent="0.15">
      <c r="A413" t="s">
        <v>816</v>
      </c>
      <c r="B413" t="s">
        <v>7008</v>
      </c>
      <c r="C413" t="s">
        <v>74</v>
      </c>
      <c r="D413" t="s">
        <v>74</v>
      </c>
      <c r="E413" t="s">
        <v>846</v>
      </c>
      <c r="F413" t="s">
        <v>7009</v>
      </c>
      <c r="G413" t="s">
        <v>74</v>
      </c>
      <c r="H413" t="s">
        <v>74</v>
      </c>
      <c r="I413" t="s">
        <v>7010</v>
      </c>
      <c r="J413" t="s">
        <v>7011</v>
      </c>
      <c r="K413" t="s">
        <v>7012</v>
      </c>
      <c r="L413" t="s">
        <v>74</v>
      </c>
      <c r="M413" t="s">
        <v>78</v>
      </c>
      <c r="N413" t="s">
        <v>823</v>
      </c>
      <c r="O413" t="s">
        <v>7013</v>
      </c>
      <c r="P413" t="s">
        <v>7014</v>
      </c>
      <c r="Q413" t="s">
        <v>7015</v>
      </c>
      <c r="R413" t="s">
        <v>74</v>
      </c>
      <c r="S413" t="s">
        <v>74</v>
      </c>
      <c r="T413" t="s">
        <v>74</v>
      </c>
      <c r="U413" t="s">
        <v>7016</v>
      </c>
      <c r="V413" t="s">
        <v>7017</v>
      </c>
      <c r="W413" t="s">
        <v>7018</v>
      </c>
      <c r="X413" t="s">
        <v>7019</v>
      </c>
      <c r="Y413" t="s">
        <v>7020</v>
      </c>
      <c r="Z413" t="s">
        <v>7021</v>
      </c>
      <c r="AA413" t="s">
        <v>74</v>
      </c>
      <c r="AB413" t="s">
        <v>7022</v>
      </c>
      <c r="AC413" t="s">
        <v>74</v>
      </c>
      <c r="AD413" t="s">
        <v>74</v>
      </c>
      <c r="AE413" t="s">
        <v>74</v>
      </c>
      <c r="AF413" t="s">
        <v>74</v>
      </c>
      <c r="AG413">
        <v>10</v>
      </c>
      <c r="AH413">
        <v>0</v>
      </c>
      <c r="AI413">
        <v>0</v>
      </c>
      <c r="AJ413">
        <v>0</v>
      </c>
      <c r="AK413">
        <v>3</v>
      </c>
      <c r="AL413" t="s">
        <v>846</v>
      </c>
      <c r="AM413" t="s">
        <v>662</v>
      </c>
      <c r="AN413" t="s">
        <v>862</v>
      </c>
      <c r="AO413" t="s">
        <v>7023</v>
      </c>
      <c r="AP413" t="s">
        <v>74</v>
      </c>
      <c r="AQ413" t="s">
        <v>7024</v>
      </c>
      <c r="AR413" t="s">
        <v>7012</v>
      </c>
      <c r="AS413" t="s">
        <v>74</v>
      </c>
      <c r="AT413" t="s">
        <v>74</v>
      </c>
      <c r="AU413">
        <v>2008</v>
      </c>
      <c r="AV413" t="s">
        <v>74</v>
      </c>
      <c r="AW413" t="s">
        <v>74</v>
      </c>
      <c r="AX413" t="s">
        <v>74</v>
      </c>
      <c r="AY413" t="s">
        <v>74</v>
      </c>
      <c r="AZ413" t="s">
        <v>74</v>
      </c>
      <c r="BA413" t="s">
        <v>74</v>
      </c>
      <c r="BB413">
        <v>832</v>
      </c>
      <c r="BC413" t="s">
        <v>865</v>
      </c>
      <c r="BD413" t="s">
        <v>74</v>
      </c>
      <c r="BE413" t="s">
        <v>74</v>
      </c>
      <c r="BF413" t="s">
        <v>74</v>
      </c>
      <c r="BG413" t="s">
        <v>74</v>
      </c>
      <c r="BH413" t="s">
        <v>74</v>
      </c>
      <c r="BI413">
        <v>2</v>
      </c>
      <c r="BJ413" t="s">
        <v>7025</v>
      </c>
      <c r="BK413" t="s">
        <v>842</v>
      </c>
      <c r="BL413" t="s">
        <v>7026</v>
      </c>
      <c r="BM413" t="s">
        <v>7027</v>
      </c>
      <c r="BN413" t="s">
        <v>74</v>
      </c>
      <c r="BO413" t="s">
        <v>74</v>
      </c>
      <c r="BP413" t="s">
        <v>74</v>
      </c>
      <c r="BQ413" t="s">
        <v>74</v>
      </c>
      <c r="BR413" t="s">
        <v>100</v>
      </c>
      <c r="BS413" t="s">
        <v>7028</v>
      </c>
      <c r="BT413" t="str">
        <f>HYPERLINK("https%3A%2F%2Fwww.webofscience.com%2Fwos%2Fwoscc%2Ffull-record%2FWOS:000257943100142","View Full Record in Web of Science")</f>
        <v>View Full Record in Web of Science</v>
      </c>
    </row>
    <row r="414" spans="1:72" x14ac:dyDescent="0.15">
      <c r="A414" t="s">
        <v>816</v>
      </c>
      <c r="B414" t="s">
        <v>7029</v>
      </c>
      <c r="C414" t="s">
        <v>74</v>
      </c>
      <c r="D414" t="s">
        <v>74</v>
      </c>
      <c r="E414" t="s">
        <v>7030</v>
      </c>
      <c r="F414" t="s">
        <v>7031</v>
      </c>
      <c r="G414" t="s">
        <v>74</v>
      </c>
      <c r="H414" t="s">
        <v>74</v>
      </c>
      <c r="I414" t="s">
        <v>7032</v>
      </c>
      <c r="J414" t="s">
        <v>7033</v>
      </c>
      <c r="K414" t="s">
        <v>7012</v>
      </c>
      <c r="L414" t="s">
        <v>74</v>
      </c>
      <c r="M414" t="s">
        <v>78</v>
      </c>
      <c r="N414" t="s">
        <v>823</v>
      </c>
      <c r="O414" t="s">
        <v>7034</v>
      </c>
      <c r="P414" t="s">
        <v>7035</v>
      </c>
      <c r="Q414" t="s">
        <v>7036</v>
      </c>
      <c r="R414" t="s">
        <v>74</v>
      </c>
      <c r="S414" t="s">
        <v>74</v>
      </c>
      <c r="T414" t="s">
        <v>74</v>
      </c>
      <c r="U414" t="s">
        <v>74</v>
      </c>
      <c r="V414" t="s">
        <v>7037</v>
      </c>
      <c r="W414" t="s">
        <v>7038</v>
      </c>
      <c r="X414" t="s">
        <v>7039</v>
      </c>
      <c r="Y414" t="s">
        <v>7040</v>
      </c>
      <c r="Z414" t="s">
        <v>74</v>
      </c>
      <c r="AA414" t="s">
        <v>74</v>
      </c>
      <c r="AB414" t="s">
        <v>74</v>
      </c>
      <c r="AC414" t="s">
        <v>7041</v>
      </c>
      <c r="AD414" t="s">
        <v>7042</v>
      </c>
      <c r="AE414" t="s">
        <v>7043</v>
      </c>
      <c r="AF414" t="s">
        <v>74</v>
      </c>
      <c r="AG414">
        <v>5</v>
      </c>
      <c r="AH414">
        <v>0</v>
      </c>
      <c r="AI414">
        <v>0</v>
      </c>
      <c r="AJ414">
        <v>0</v>
      </c>
      <c r="AK414">
        <v>3</v>
      </c>
      <c r="AL414" t="s">
        <v>846</v>
      </c>
      <c r="AM414" t="s">
        <v>662</v>
      </c>
      <c r="AN414" t="s">
        <v>862</v>
      </c>
      <c r="AO414" t="s">
        <v>7023</v>
      </c>
      <c r="AP414" t="s">
        <v>74</v>
      </c>
      <c r="AQ414" t="s">
        <v>7044</v>
      </c>
      <c r="AR414" t="s">
        <v>7012</v>
      </c>
      <c r="AS414" t="s">
        <v>74</v>
      </c>
      <c r="AT414" t="s">
        <v>74</v>
      </c>
      <c r="AU414">
        <v>2008</v>
      </c>
      <c r="AV414" t="s">
        <v>74</v>
      </c>
      <c r="AW414" t="s">
        <v>74</v>
      </c>
      <c r="AX414" t="s">
        <v>74</v>
      </c>
      <c r="AY414" t="s">
        <v>74</v>
      </c>
      <c r="AZ414" t="s">
        <v>74</v>
      </c>
      <c r="BA414" t="s">
        <v>74</v>
      </c>
      <c r="BB414">
        <v>2152</v>
      </c>
      <c r="BC414" t="s">
        <v>865</v>
      </c>
      <c r="BD414" t="s">
        <v>74</v>
      </c>
      <c r="BE414" t="s">
        <v>74</v>
      </c>
      <c r="BF414" t="s">
        <v>74</v>
      </c>
      <c r="BG414" t="s">
        <v>74</v>
      </c>
      <c r="BH414" t="s">
        <v>74</v>
      </c>
      <c r="BI414">
        <v>2</v>
      </c>
      <c r="BJ414" t="s">
        <v>7045</v>
      </c>
      <c r="BK414" t="s">
        <v>842</v>
      </c>
      <c r="BL414" t="s">
        <v>7046</v>
      </c>
      <c r="BM414" t="s">
        <v>7047</v>
      </c>
      <c r="BN414" t="s">
        <v>74</v>
      </c>
      <c r="BO414" t="s">
        <v>74</v>
      </c>
      <c r="BP414" t="s">
        <v>74</v>
      </c>
      <c r="BQ414" t="s">
        <v>74</v>
      </c>
      <c r="BR414" t="s">
        <v>100</v>
      </c>
      <c r="BS414" t="s">
        <v>7048</v>
      </c>
      <c r="BT414" t="str">
        <f>HYPERLINK("https%3A%2F%2Fwww.webofscience.com%2Fwos%2Fwoscc%2Ffull-record%2FWOS:000265654501152","View Full Record in Web of Science")</f>
        <v>View Full Record in Web of Science</v>
      </c>
    </row>
    <row r="415" spans="1:72" x14ac:dyDescent="0.15">
      <c r="A415" t="s">
        <v>816</v>
      </c>
      <c r="B415" t="s">
        <v>7049</v>
      </c>
      <c r="C415" t="s">
        <v>74</v>
      </c>
      <c r="D415" t="s">
        <v>7050</v>
      </c>
      <c r="E415" t="s">
        <v>74</v>
      </c>
      <c r="F415" t="s">
        <v>7051</v>
      </c>
      <c r="G415" t="s">
        <v>74</v>
      </c>
      <c r="H415" t="s">
        <v>74</v>
      </c>
      <c r="I415" t="s">
        <v>7052</v>
      </c>
      <c r="J415" t="s">
        <v>7053</v>
      </c>
      <c r="K415" t="s">
        <v>1344</v>
      </c>
      <c r="L415" t="s">
        <v>74</v>
      </c>
      <c r="M415" t="s">
        <v>78</v>
      </c>
      <c r="N415" t="s">
        <v>823</v>
      </c>
      <c r="O415" t="s">
        <v>7054</v>
      </c>
      <c r="P415" t="s">
        <v>7055</v>
      </c>
      <c r="Q415" t="s">
        <v>1347</v>
      </c>
      <c r="R415" t="s">
        <v>74</v>
      </c>
      <c r="S415" t="s">
        <v>74</v>
      </c>
      <c r="T415" t="s">
        <v>7056</v>
      </c>
      <c r="U415" t="s">
        <v>7057</v>
      </c>
      <c r="V415" t="s">
        <v>7058</v>
      </c>
      <c r="W415" t="s">
        <v>7059</v>
      </c>
      <c r="X415" t="s">
        <v>7060</v>
      </c>
      <c r="Y415" t="s">
        <v>7061</v>
      </c>
      <c r="Z415" t="s">
        <v>7062</v>
      </c>
      <c r="AA415" t="s">
        <v>74</v>
      </c>
      <c r="AB415" t="s">
        <v>7063</v>
      </c>
      <c r="AC415" t="s">
        <v>74</v>
      </c>
      <c r="AD415" t="s">
        <v>74</v>
      </c>
      <c r="AE415" t="s">
        <v>74</v>
      </c>
      <c r="AF415" t="s">
        <v>74</v>
      </c>
      <c r="AG415">
        <v>20</v>
      </c>
      <c r="AH415">
        <v>1</v>
      </c>
      <c r="AI415">
        <v>1</v>
      </c>
      <c r="AJ415">
        <v>0</v>
      </c>
      <c r="AK415">
        <v>0</v>
      </c>
      <c r="AL415" t="s">
        <v>1354</v>
      </c>
      <c r="AM415" t="s">
        <v>1355</v>
      </c>
      <c r="AN415" t="s">
        <v>1356</v>
      </c>
      <c r="AO415" t="s">
        <v>1357</v>
      </c>
      <c r="AP415" t="s">
        <v>74</v>
      </c>
      <c r="AQ415" t="s">
        <v>7064</v>
      </c>
      <c r="AR415" t="s">
        <v>1360</v>
      </c>
      <c r="AS415" t="s">
        <v>74</v>
      </c>
      <c r="AT415" t="s">
        <v>74</v>
      </c>
      <c r="AU415">
        <v>2008</v>
      </c>
      <c r="AV415">
        <v>7013</v>
      </c>
      <c r="AW415" t="s">
        <v>74</v>
      </c>
      <c r="AX415" t="s">
        <v>1361</v>
      </c>
      <c r="AY415" t="s">
        <v>74</v>
      </c>
      <c r="AZ415" t="s">
        <v>74</v>
      </c>
      <c r="BA415" t="s">
        <v>74</v>
      </c>
      <c r="BB415" t="s">
        <v>74</v>
      </c>
      <c r="BC415" t="s">
        <v>74</v>
      </c>
      <c r="BD415" t="s">
        <v>7065</v>
      </c>
      <c r="BE415" t="s">
        <v>7066</v>
      </c>
      <c r="BF415" t="str">
        <f>HYPERLINK("http://dx.doi.org/10.1117/12.790298","http://dx.doi.org/10.1117/12.790298")</f>
        <v>http://dx.doi.org/10.1117/12.790298</v>
      </c>
      <c r="BG415" t="s">
        <v>74</v>
      </c>
      <c r="BH415" t="s">
        <v>74</v>
      </c>
      <c r="BI415">
        <v>12</v>
      </c>
      <c r="BJ415" t="s">
        <v>4561</v>
      </c>
      <c r="BK415" t="s">
        <v>842</v>
      </c>
      <c r="BL415" t="s">
        <v>4561</v>
      </c>
      <c r="BM415" t="s">
        <v>7067</v>
      </c>
      <c r="BN415" t="s">
        <v>74</v>
      </c>
      <c r="BO415" t="s">
        <v>74</v>
      </c>
      <c r="BP415" t="s">
        <v>74</v>
      </c>
      <c r="BQ415" t="s">
        <v>74</v>
      </c>
      <c r="BR415" t="s">
        <v>100</v>
      </c>
      <c r="BS415" t="s">
        <v>7068</v>
      </c>
      <c r="BT415" t="str">
        <f>HYPERLINK("https%3A%2F%2Fwww.webofscience.com%2Fwos%2Fwoscc%2Ffull-record%2FWOS:000260782400150","View Full Record in Web of Science")</f>
        <v>View Full Record in Web of Science</v>
      </c>
    </row>
    <row r="416" spans="1:72" x14ac:dyDescent="0.15">
      <c r="A416" t="s">
        <v>816</v>
      </c>
      <c r="B416" t="s">
        <v>7069</v>
      </c>
      <c r="C416" t="s">
        <v>74</v>
      </c>
      <c r="D416" t="s">
        <v>7050</v>
      </c>
      <c r="E416" t="s">
        <v>74</v>
      </c>
      <c r="F416" t="s">
        <v>7070</v>
      </c>
      <c r="G416" t="s">
        <v>74</v>
      </c>
      <c r="H416" t="s">
        <v>74</v>
      </c>
      <c r="I416" t="s">
        <v>7071</v>
      </c>
      <c r="J416" t="s">
        <v>7053</v>
      </c>
      <c r="K416" t="s">
        <v>1344</v>
      </c>
      <c r="L416" t="s">
        <v>74</v>
      </c>
      <c r="M416" t="s">
        <v>78</v>
      </c>
      <c r="N416" t="s">
        <v>823</v>
      </c>
      <c r="O416" t="s">
        <v>7054</v>
      </c>
      <c r="P416" t="s">
        <v>7055</v>
      </c>
      <c r="Q416" t="s">
        <v>1347</v>
      </c>
      <c r="R416" t="s">
        <v>74</v>
      </c>
      <c r="S416" t="s">
        <v>74</v>
      </c>
      <c r="T416" t="s">
        <v>7072</v>
      </c>
      <c r="U416" t="s">
        <v>74</v>
      </c>
      <c r="V416" t="s">
        <v>7073</v>
      </c>
      <c r="W416" t="s">
        <v>7074</v>
      </c>
      <c r="X416" t="s">
        <v>7075</v>
      </c>
      <c r="Y416" t="s">
        <v>7076</v>
      </c>
      <c r="Z416" t="s">
        <v>7077</v>
      </c>
      <c r="AA416" t="s">
        <v>7078</v>
      </c>
      <c r="AB416" t="s">
        <v>7079</v>
      </c>
      <c r="AC416" t="s">
        <v>74</v>
      </c>
      <c r="AD416" t="s">
        <v>74</v>
      </c>
      <c r="AE416" t="s">
        <v>74</v>
      </c>
      <c r="AF416" t="s">
        <v>74</v>
      </c>
      <c r="AG416">
        <v>6</v>
      </c>
      <c r="AH416">
        <v>5</v>
      </c>
      <c r="AI416">
        <v>5</v>
      </c>
      <c r="AJ416">
        <v>0</v>
      </c>
      <c r="AK416">
        <v>0</v>
      </c>
      <c r="AL416" t="s">
        <v>1354</v>
      </c>
      <c r="AM416" t="s">
        <v>1355</v>
      </c>
      <c r="AN416" t="s">
        <v>1356</v>
      </c>
      <c r="AO416" t="s">
        <v>1357</v>
      </c>
      <c r="AP416" t="s">
        <v>74</v>
      </c>
      <c r="AQ416" t="s">
        <v>7064</v>
      </c>
      <c r="AR416" t="s">
        <v>1360</v>
      </c>
      <c r="AS416" t="s">
        <v>74</v>
      </c>
      <c r="AT416" t="s">
        <v>74</v>
      </c>
      <c r="AU416">
        <v>2008</v>
      </c>
      <c r="AV416">
        <v>7013</v>
      </c>
      <c r="AW416" t="s">
        <v>74</v>
      </c>
      <c r="AX416" t="s">
        <v>1361</v>
      </c>
      <c r="AY416" t="s">
        <v>74</v>
      </c>
      <c r="AZ416" t="s">
        <v>74</v>
      </c>
      <c r="BA416" t="s">
        <v>74</v>
      </c>
      <c r="BB416" t="s">
        <v>74</v>
      </c>
      <c r="BC416" t="s">
        <v>74</v>
      </c>
      <c r="BD416" t="s">
        <v>7080</v>
      </c>
      <c r="BE416" t="s">
        <v>7081</v>
      </c>
      <c r="BF416" t="str">
        <f>HYPERLINK("http://dx.doi.org/10.1117/12.789042","http://dx.doi.org/10.1117/12.789042")</f>
        <v>http://dx.doi.org/10.1117/12.789042</v>
      </c>
      <c r="BG416" t="s">
        <v>74</v>
      </c>
      <c r="BH416" t="s">
        <v>74</v>
      </c>
      <c r="BI416">
        <v>9</v>
      </c>
      <c r="BJ416" t="s">
        <v>4561</v>
      </c>
      <c r="BK416" t="s">
        <v>842</v>
      </c>
      <c r="BL416" t="s">
        <v>4561</v>
      </c>
      <c r="BM416" t="s">
        <v>7067</v>
      </c>
      <c r="BN416" t="s">
        <v>74</v>
      </c>
      <c r="BO416" t="s">
        <v>74</v>
      </c>
      <c r="BP416" t="s">
        <v>74</v>
      </c>
      <c r="BQ416" t="s">
        <v>74</v>
      </c>
      <c r="BR416" t="s">
        <v>100</v>
      </c>
      <c r="BS416" t="s">
        <v>7082</v>
      </c>
      <c r="BT416" t="str">
        <f>HYPERLINK("https%3A%2F%2Fwww.webofscience.com%2Fwos%2Fwoscc%2Ffull-record%2FWOS:000260782400050","View Full Record in Web of Science")</f>
        <v>View Full Record in Web of Science</v>
      </c>
    </row>
    <row r="417" spans="1:72" x14ac:dyDescent="0.15">
      <c r="A417" t="s">
        <v>816</v>
      </c>
      <c r="B417" t="s">
        <v>7083</v>
      </c>
      <c r="C417" t="s">
        <v>74</v>
      </c>
      <c r="D417" t="s">
        <v>7050</v>
      </c>
      <c r="E417" t="s">
        <v>74</v>
      </c>
      <c r="F417" t="s">
        <v>7084</v>
      </c>
      <c r="G417" t="s">
        <v>74</v>
      </c>
      <c r="H417" t="s">
        <v>74</v>
      </c>
      <c r="I417" t="s">
        <v>7085</v>
      </c>
      <c r="J417" t="s">
        <v>7053</v>
      </c>
      <c r="K417" t="s">
        <v>1344</v>
      </c>
      <c r="L417" t="s">
        <v>74</v>
      </c>
      <c r="M417" t="s">
        <v>78</v>
      </c>
      <c r="N417" t="s">
        <v>823</v>
      </c>
      <c r="O417" t="s">
        <v>7054</v>
      </c>
      <c r="P417" t="s">
        <v>7055</v>
      </c>
      <c r="Q417" t="s">
        <v>1347</v>
      </c>
      <c r="R417" t="s">
        <v>74</v>
      </c>
      <c r="S417" t="s">
        <v>74</v>
      </c>
      <c r="T417" t="s">
        <v>7086</v>
      </c>
      <c r="U417" t="s">
        <v>7087</v>
      </c>
      <c r="V417" t="s">
        <v>7088</v>
      </c>
      <c r="W417" t="s">
        <v>7089</v>
      </c>
      <c r="X417" t="s">
        <v>7090</v>
      </c>
      <c r="Y417" t="s">
        <v>7091</v>
      </c>
      <c r="Z417" t="s">
        <v>74</v>
      </c>
      <c r="AA417" t="s">
        <v>74</v>
      </c>
      <c r="AB417" t="s">
        <v>7092</v>
      </c>
      <c r="AC417" t="s">
        <v>74</v>
      </c>
      <c r="AD417" t="s">
        <v>74</v>
      </c>
      <c r="AE417" t="s">
        <v>74</v>
      </c>
      <c r="AF417" t="s">
        <v>74</v>
      </c>
      <c r="AG417">
        <v>7</v>
      </c>
      <c r="AH417">
        <v>0</v>
      </c>
      <c r="AI417">
        <v>0</v>
      </c>
      <c r="AJ417">
        <v>0</v>
      </c>
      <c r="AK417">
        <v>0</v>
      </c>
      <c r="AL417" t="s">
        <v>1354</v>
      </c>
      <c r="AM417" t="s">
        <v>1355</v>
      </c>
      <c r="AN417" t="s">
        <v>1356</v>
      </c>
      <c r="AO417" t="s">
        <v>1357</v>
      </c>
      <c r="AP417" t="s">
        <v>74</v>
      </c>
      <c r="AQ417" t="s">
        <v>7064</v>
      </c>
      <c r="AR417" t="s">
        <v>1360</v>
      </c>
      <c r="AS417" t="s">
        <v>74</v>
      </c>
      <c r="AT417" t="s">
        <v>74</v>
      </c>
      <c r="AU417">
        <v>2008</v>
      </c>
      <c r="AV417">
        <v>7013</v>
      </c>
      <c r="AW417" t="s">
        <v>74</v>
      </c>
      <c r="AX417" t="s">
        <v>1361</v>
      </c>
      <c r="AY417" t="s">
        <v>74</v>
      </c>
      <c r="AZ417" t="s">
        <v>74</v>
      </c>
      <c r="BA417" t="s">
        <v>74</v>
      </c>
      <c r="BB417" t="s">
        <v>74</v>
      </c>
      <c r="BC417" t="s">
        <v>74</v>
      </c>
      <c r="BD417" t="s">
        <v>7093</v>
      </c>
      <c r="BE417" t="s">
        <v>7094</v>
      </c>
      <c r="BF417" t="str">
        <f>HYPERLINK("http://dx.doi.org/10.1117/12.790966","http://dx.doi.org/10.1117/12.790966")</f>
        <v>http://dx.doi.org/10.1117/12.790966</v>
      </c>
      <c r="BG417" t="s">
        <v>74</v>
      </c>
      <c r="BH417" t="s">
        <v>74</v>
      </c>
      <c r="BI417">
        <v>6</v>
      </c>
      <c r="BJ417" t="s">
        <v>4561</v>
      </c>
      <c r="BK417" t="s">
        <v>842</v>
      </c>
      <c r="BL417" t="s">
        <v>4561</v>
      </c>
      <c r="BM417" t="s">
        <v>7067</v>
      </c>
      <c r="BN417" t="s">
        <v>74</v>
      </c>
      <c r="BO417" t="s">
        <v>74</v>
      </c>
      <c r="BP417" t="s">
        <v>74</v>
      </c>
      <c r="BQ417" t="s">
        <v>74</v>
      </c>
      <c r="BR417" t="s">
        <v>100</v>
      </c>
      <c r="BS417" t="s">
        <v>7095</v>
      </c>
      <c r="BT417" t="str">
        <f>HYPERLINK("https%3A%2F%2Fwww.webofscience.com%2Fwos%2Fwoscc%2Ffull-record%2FWOS:000260782400143","View Full Record in Web of Science")</f>
        <v>View Full Record in Web of Science</v>
      </c>
    </row>
    <row r="418" spans="1:72" x14ac:dyDescent="0.15">
      <c r="A418" t="s">
        <v>72</v>
      </c>
      <c r="B418" t="s">
        <v>7096</v>
      </c>
      <c r="C418" t="s">
        <v>74</v>
      </c>
      <c r="D418" t="s">
        <v>74</v>
      </c>
      <c r="E418" t="s">
        <v>74</v>
      </c>
      <c r="F418" t="s">
        <v>7097</v>
      </c>
      <c r="G418" t="s">
        <v>74</v>
      </c>
      <c r="H418" t="s">
        <v>74</v>
      </c>
      <c r="I418" t="s">
        <v>7098</v>
      </c>
      <c r="J418" t="s">
        <v>7099</v>
      </c>
      <c r="K418" t="s">
        <v>74</v>
      </c>
      <c r="L418" t="s">
        <v>74</v>
      </c>
      <c r="M418" t="s">
        <v>78</v>
      </c>
      <c r="N418" t="s">
        <v>1602</v>
      </c>
      <c r="O418" t="s">
        <v>7100</v>
      </c>
      <c r="P418" t="s">
        <v>7101</v>
      </c>
      <c r="Q418" t="s">
        <v>7102</v>
      </c>
      <c r="R418" t="s">
        <v>74</v>
      </c>
      <c r="S418" t="s">
        <v>74</v>
      </c>
      <c r="T418" t="s">
        <v>74</v>
      </c>
      <c r="U418" t="s">
        <v>7103</v>
      </c>
      <c r="V418" t="s">
        <v>7104</v>
      </c>
      <c r="W418" t="s">
        <v>7105</v>
      </c>
      <c r="X418" t="s">
        <v>7106</v>
      </c>
      <c r="Y418" t="s">
        <v>7107</v>
      </c>
      <c r="Z418" t="s">
        <v>7108</v>
      </c>
      <c r="AA418" t="s">
        <v>7109</v>
      </c>
      <c r="AB418" t="s">
        <v>7110</v>
      </c>
      <c r="AC418" t="s">
        <v>74</v>
      </c>
      <c r="AD418" t="s">
        <v>74</v>
      </c>
      <c r="AE418" t="s">
        <v>74</v>
      </c>
      <c r="AF418" t="s">
        <v>74</v>
      </c>
      <c r="AG418">
        <v>79</v>
      </c>
      <c r="AH418">
        <v>20</v>
      </c>
      <c r="AI418">
        <v>28</v>
      </c>
      <c r="AJ418">
        <v>0</v>
      </c>
      <c r="AK418">
        <v>21</v>
      </c>
      <c r="AL418" t="s">
        <v>521</v>
      </c>
      <c r="AM418" t="s">
        <v>522</v>
      </c>
      <c r="AN418" t="s">
        <v>523</v>
      </c>
      <c r="AO418" t="s">
        <v>7111</v>
      </c>
      <c r="AP418" t="s">
        <v>74</v>
      </c>
      <c r="AQ418" t="s">
        <v>74</v>
      </c>
      <c r="AR418" t="s">
        <v>7112</v>
      </c>
      <c r="AS418" t="s">
        <v>7113</v>
      </c>
      <c r="AT418" t="s">
        <v>74</v>
      </c>
      <c r="AU418">
        <v>2008</v>
      </c>
      <c r="AV418">
        <v>39</v>
      </c>
      <c r="AW418">
        <v>5</v>
      </c>
      <c r="AX418" t="s">
        <v>74</v>
      </c>
      <c r="AY418" t="s">
        <v>74</v>
      </c>
      <c r="AZ418" t="s">
        <v>74</v>
      </c>
      <c r="BA418" t="s">
        <v>74</v>
      </c>
      <c r="BB418">
        <v>567</v>
      </c>
      <c r="BC418">
        <v>588</v>
      </c>
      <c r="BD418" t="s">
        <v>74</v>
      </c>
      <c r="BE418" t="s">
        <v>7114</v>
      </c>
      <c r="BF418" t="str">
        <f>HYPERLINK("http://dx.doi.org/10.1016/j.orggeochem.2008.01.009","http://dx.doi.org/10.1016/j.orggeochem.2008.01.009")</f>
        <v>http://dx.doi.org/10.1016/j.orggeochem.2008.01.009</v>
      </c>
      <c r="BG418" t="s">
        <v>74</v>
      </c>
      <c r="BH418" t="s">
        <v>74</v>
      </c>
      <c r="BI418">
        <v>22</v>
      </c>
      <c r="BJ418" t="s">
        <v>553</v>
      </c>
      <c r="BK418" t="s">
        <v>1616</v>
      </c>
      <c r="BL418" t="s">
        <v>553</v>
      </c>
      <c r="BM418" t="s">
        <v>7115</v>
      </c>
      <c r="BN418" t="s">
        <v>74</v>
      </c>
      <c r="BO418" t="s">
        <v>74</v>
      </c>
      <c r="BP418" t="s">
        <v>74</v>
      </c>
      <c r="BQ418" t="s">
        <v>74</v>
      </c>
      <c r="BR418" t="s">
        <v>100</v>
      </c>
      <c r="BS418" t="s">
        <v>7116</v>
      </c>
      <c r="BT418" t="str">
        <f>HYPERLINK("https%3A%2F%2Fwww.webofscience.com%2Fwos%2Fwoscc%2Ffull-record%2FWOS:000256842400008","View Full Record in Web of Science")</f>
        <v>View Full Record in Web of Science</v>
      </c>
    </row>
    <row r="419" spans="1:72" x14ac:dyDescent="0.15">
      <c r="A419" t="s">
        <v>72</v>
      </c>
      <c r="B419" t="s">
        <v>7117</v>
      </c>
      <c r="C419" t="s">
        <v>74</v>
      </c>
      <c r="D419" t="s">
        <v>74</v>
      </c>
      <c r="E419" t="s">
        <v>74</v>
      </c>
      <c r="F419" t="s">
        <v>7118</v>
      </c>
      <c r="G419" t="s">
        <v>74</v>
      </c>
      <c r="H419" t="s">
        <v>74</v>
      </c>
      <c r="I419" t="s">
        <v>7119</v>
      </c>
      <c r="J419" t="s">
        <v>7120</v>
      </c>
      <c r="K419" t="s">
        <v>74</v>
      </c>
      <c r="L419" t="s">
        <v>74</v>
      </c>
      <c r="M419" t="s">
        <v>78</v>
      </c>
      <c r="N419" t="s">
        <v>79</v>
      </c>
      <c r="O419" t="s">
        <v>74</v>
      </c>
      <c r="P419" t="s">
        <v>74</v>
      </c>
      <c r="Q419" t="s">
        <v>74</v>
      </c>
      <c r="R419" t="s">
        <v>74</v>
      </c>
      <c r="S419" t="s">
        <v>74</v>
      </c>
      <c r="T419" t="s">
        <v>7121</v>
      </c>
      <c r="U419" t="s">
        <v>74</v>
      </c>
      <c r="V419" t="s">
        <v>7122</v>
      </c>
      <c r="W419" t="s">
        <v>7123</v>
      </c>
      <c r="X419" t="s">
        <v>5048</v>
      </c>
      <c r="Y419" t="s">
        <v>7124</v>
      </c>
      <c r="Z419" t="s">
        <v>7125</v>
      </c>
      <c r="AA419" t="s">
        <v>74</v>
      </c>
      <c r="AB419" t="s">
        <v>74</v>
      </c>
      <c r="AC419" t="s">
        <v>74</v>
      </c>
      <c r="AD419" t="s">
        <v>74</v>
      </c>
      <c r="AE419" t="s">
        <v>74</v>
      </c>
      <c r="AF419" t="s">
        <v>74</v>
      </c>
      <c r="AG419">
        <v>0</v>
      </c>
      <c r="AH419">
        <v>6</v>
      </c>
      <c r="AI419">
        <v>7</v>
      </c>
      <c r="AJ419">
        <v>0</v>
      </c>
      <c r="AK419">
        <v>2</v>
      </c>
      <c r="AL419" t="s">
        <v>7126</v>
      </c>
      <c r="AM419" t="s">
        <v>7127</v>
      </c>
      <c r="AN419" t="s">
        <v>7128</v>
      </c>
      <c r="AO419" t="s">
        <v>7129</v>
      </c>
      <c r="AP419" t="s">
        <v>74</v>
      </c>
      <c r="AQ419" t="s">
        <v>74</v>
      </c>
      <c r="AR419" t="s">
        <v>7130</v>
      </c>
      <c r="AS419" t="s">
        <v>7131</v>
      </c>
      <c r="AT419" t="s">
        <v>74</v>
      </c>
      <c r="AU419">
        <v>2008</v>
      </c>
      <c r="AV419">
        <v>8</v>
      </c>
      <c r="AW419">
        <v>4</v>
      </c>
      <c r="AX419" t="s">
        <v>74</v>
      </c>
      <c r="AY419" t="s">
        <v>74</v>
      </c>
      <c r="AZ419" t="s">
        <v>74</v>
      </c>
      <c r="BA419" t="s">
        <v>74</v>
      </c>
      <c r="BB419">
        <v>249</v>
      </c>
      <c r="BC419">
        <v>250</v>
      </c>
      <c r="BD419" t="s">
        <v>74</v>
      </c>
      <c r="BE419" t="s">
        <v>74</v>
      </c>
      <c r="BF419" t="s">
        <v>74</v>
      </c>
      <c r="BG419" t="s">
        <v>74</v>
      </c>
      <c r="BH419" t="s">
        <v>74</v>
      </c>
      <c r="BI419">
        <v>2</v>
      </c>
      <c r="BJ419" t="s">
        <v>7132</v>
      </c>
      <c r="BK419" t="s">
        <v>97</v>
      </c>
      <c r="BL419" t="s">
        <v>7132</v>
      </c>
      <c r="BM419" t="s">
        <v>7133</v>
      </c>
      <c r="BN419" t="s">
        <v>74</v>
      </c>
      <c r="BO419" t="s">
        <v>74</v>
      </c>
      <c r="BP419" t="s">
        <v>74</v>
      </c>
      <c r="BQ419" t="s">
        <v>74</v>
      </c>
      <c r="BR419" t="s">
        <v>100</v>
      </c>
      <c r="BS419" t="s">
        <v>7134</v>
      </c>
      <c r="BT419" t="str">
        <f>HYPERLINK("https%3A%2F%2Fwww.webofscience.com%2Fwos%2Fwoscc%2Ffull-record%2FWOS:000261849300001","View Full Record in Web of Science")</f>
        <v>View Full Record in Web of Science</v>
      </c>
    </row>
    <row r="420" spans="1:72" x14ac:dyDescent="0.15">
      <c r="A420" t="s">
        <v>72</v>
      </c>
      <c r="B420" t="s">
        <v>7135</v>
      </c>
      <c r="C420" t="s">
        <v>74</v>
      </c>
      <c r="D420" t="s">
        <v>74</v>
      </c>
      <c r="E420" t="s">
        <v>74</v>
      </c>
      <c r="F420" t="s">
        <v>7136</v>
      </c>
      <c r="G420" t="s">
        <v>74</v>
      </c>
      <c r="H420" t="s">
        <v>74</v>
      </c>
      <c r="I420" t="s">
        <v>7137</v>
      </c>
      <c r="J420" t="s">
        <v>7120</v>
      </c>
      <c r="K420" t="s">
        <v>74</v>
      </c>
      <c r="L420" t="s">
        <v>74</v>
      </c>
      <c r="M420" t="s">
        <v>78</v>
      </c>
      <c r="N420" t="s">
        <v>79</v>
      </c>
      <c r="O420" t="s">
        <v>74</v>
      </c>
      <c r="P420" t="s">
        <v>74</v>
      </c>
      <c r="Q420" t="s">
        <v>74</v>
      </c>
      <c r="R420" t="s">
        <v>74</v>
      </c>
      <c r="S420" t="s">
        <v>74</v>
      </c>
      <c r="T420" t="s">
        <v>7138</v>
      </c>
      <c r="U420" t="s">
        <v>7139</v>
      </c>
      <c r="V420" t="s">
        <v>7140</v>
      </c>
      <c r="W420" t="s">
        <v>7141</v>
      </c>
      <c r="X420" t="s">
        <v>7142</v>
      </c>
      <c r="Y420" t="s">
        <v>7143</v>
      </c>
      <c r="Z420" t="s">
        <v>7144</v>
      </c>
      <c r="AA420" t="s">
        <v>7145</v>
      </c>
      <c r="AB420" t="s">
        <v>74</v>
      </c>
      <c r="AC420" t="s">
        <v>74</v>
      </c>
      <c r="AD420" t="s">
        <v>74</v>
      </c>
      <c r="AE420" t="s">
        <v>74</v>
      </c>
      <c r="AF420" t="s">
        <v>74</v>
      </c>
      <c r="AG420">
        <v>25</v>
      </c>
      <c r="AH420">
        <v>21</v>
      </c>
      <c r="AI420">
        <v>22</v>
      </c>
      <c r="AJ420">
        <v>0</v>
      </c>
      <c r="AK420">
        <v>6</v>
      </c>
      <c r="AL420" t="s">
        <v>7126</v>
      </c>
      <c r="AM420" t="s">
        <v>7127</v>
      </c>
      <c r="AN420" t="s">
        <v>7128</v>
      </c>
      <c r="AO420" t="s">
        <v>7129</v>
      </c>
      <c r="AP420" t="s">
        <v>74</v>
      </c>
      <c r="AQ420" t="s">
        <v>74</v>
      </c>
      <c r="AR420" t="s">
        <v>7130</v>
      </c>
      <c r="AS420" t="s">
        <v>7131</v>
      </c>
      <c r="AT420" t="s">
        <v>74</v>
      </c>
      <c r="AU420">
        <v>2008</v>
      </c>
      <c r="AV420">
        <v>8</v>
      </c>
      <c r="AW420">
        <v>3</v>
      </c>
      <c r="AX420" t="s">
        <v>74</v>
      </c>
      <c r="AY420" t="s">
        <v>74</v>
      </c>
      <c r="AZ420" t="s">
        <v>74</v>
      </c>
      <c r="BA420" t="s">
        <v>74</v>
      </c>
      <c r="BB420" t="s">
        <v>74</v>
      </c>
      <c r="BC420" t="s">
        <v>74</v>
      </c>
      <c r="BD420" t="s">
        <v>74</v>
      </c>
      <c r="BE420" t="s">
        <v>7146</v>
      </c>
      <c r="BF420" t="str">
        <f>HYPERLINK("http://dx.doi.org/10.1016/j.ode.2007.11.003","http://dx.doi.org/10.1016/j.ode.2007.11.003")</f>
        <v>http://dx.doi.org/10.1016/j.ode.2007.11.003</v>
      </c>
      <c r="BG420" t="s">
        <v>74</v>
      </c>
      <c r="BH420" t="s">
        <v>74</v>
      </c>
      <c r="BI420">
        <v>18</v>
      </c>
      <c r="BJ420" t="s">
        <v>7132</v>
      </c>
      <c r="BK420" t="s">
        <v>97</v>
      </c>
      <c r="BL420" t="s">
        <v>7132</v>
      </c>
      <c r="BM420" t="s">
        <v>7147</v>
      </c>
      <c r="BN420" t="s">
        <v>74</v>
      </c>
      <c r="BO420" t="s">
        <v>179</v>
      </c>
      <c r="BP420" t="s">
        <v>74</v>
      </c>
      <c r="BQ420" t="s">
        <v>74</v>
      </c>
      <c r="BR420" t="s">
        <v>100</v>
      </c>
      <c r="BS420" t="s">
        <v>7148</v>
      </c>
      <c r="BT420" t="str">
        <f>HYPERLINK("https%3A%2F%2Fwww.webofscience.com%2Fwos%2Fwoscc%2Ffull-record%2FWOS:000259030400003","View Full Record in Web of Science")</f>
        <v>View Full Record in Web of Science</v>
      </c>
    </row>
    <row r="421" spans="1:72" x14ac:dyDescent="0.15">
      <c r="A421" t="s">
        <v>72</v>
      </c>
      <c r="B421" t="s">
        <v>7149</v>
      </c>
      <c r="C421" t="s">
        <v>74</v>
      </c>
      <c r="D421" t="s">
        <v>74</v>
      </c>
      <c r="E421" t="s">
        <v>74</v>
      </c>
      <c r="F421" t="s">
        <v>7150</v>
      </c>
      <c r="G421" t="s">
        <v>74</v>
      </c>
      <c r="H421" t="s">
        <v>74</v>
      </c>
      <c r="I421" t="s">
        <v>7151</v>
      </c>
      <c r="J421" t="s">
        <v>7120</v>
      </c>
      <c r="K421" t="s">
        <v>74</v>
      </c>
      <c r="L421" t="s">
        <v>74</v>
      </c>
      <c r="M421" t="s">
        <v>78</v>
      </c>
      <c r="N421" t="s">
        <v>79</v>
      </c>
      <c r="O421" t="s">
        <v>74</v>
      </c>
      <c r="P421" t="s">
        <v>74</v>
      </c>
      <c r="Q421" t="s">
        <v>74</v>
      </c>
      <c r="R421" t="s">
        <v>74</v>
      </c>
      <c r="S421" t="s">
        <v>74</v>
      </c>
      <c r="T421" t="s">
        <v>7152</v>
      </c>
      <c r="U421" t="s">
        <v>7153</v>
      </c>
      <c r="V421" t="s">
        <v>7154</v>
      </c>
      <c r="W421" t="s">
        <v>7155</v>
      </c>
      <c r="X421" t="s">
        <v>7156</v>
      </c>
      <c r="Y421" t="s">
        <v>7157</v>
      </c>
      <c r="Z421" t="s">
        <v>7158</v>
      </c>
      <c r="AA421" t="s">
        <v>74</v>
      </c>
      <c r="AB421" t="s">
        <v>74</v>
      </c>
      <c r="AC421" t="s">
        <v>74</v>
      </c>
      <c r="AD421" t="s">
        <v>74</v>
      </c>
      <c r="AE421" t="s">
        <v>74</v>
      </c>
      <c r="AF421" t="s">
        <v>74</v>
      </c>
      <c r="AG421">
        <v>11</v>
      </c>
      <c r="AH421">
        <v>2</v>
      </c>
      <c r="AI421">
        <v>2</v>
      </c>
      <c r="AJ421">
        <v>0</v>
      </c>
      <c r="AK421">
        <v>1</v>
      </c>
      <c r="AL421" t="s">
        <v>7126</v>
      </c>
      <c r="AM421" t="s">
        <v>7127</v>
      </c>
      <c r="AN421" t="s">
        <v>7128</v>
      </c>
      <c r="AO421" t="s">
        <v>7129</v>
      </c>
      <c r="AP421" t="s">
        <v>74</v>
      </c>
      <c r="AQ421" t="s">
        <v>74</v>
      </c>
      <c r="AR421" t="s">
        <v>7130</v>
      </c>
      <c r="AS421" t="s">
        <v>7131</v>
      </c>
      <c r="AT421" t="s">
        <v>74</v>
      </c>
      <c r="AU421">
        <v>2008</v>
      </c>
      <c r="AV421">
        <v>8</v>
      </c>
      <c r="AW421">
        <v>1</v>
      </c>
      <c r="AX421" t="s">
        <v>74</v>
      </c>
      <c r="AY421" t="s">
        <v>74</v>
      </c>
      <c r="AZ421" t="s">
        <v>74</v>
      </c>
      <c r="BA421" t="s">
        <v>74</v>
      </c>
      <c r="BB421" t="s">
        <v>74</v>
      </c>
      <c r="BC421" t="s">
        <v>74</v>
      </c>
      <c r="BD421" t="s">
        <v>74</v>
      </c>
      <c r="BE421" t="s">
        <v>7159</v>
      </c>
      <c r="BF421" t="str">
        <f>HYPERLINK("http://dx.doi.org/10.1016/j.ode.2006.08.005","http://dx.doi.org/10.1016/j.ode.2006.08.005")</f>
        <v>http://dx.doi.org/10.1016/j.ode.2006.08.005</v>
      </c>
      <c r="BG421" t="s">
        <v>74</v>
      </c>
      <c r="BH421" t="s">
        <v>74</v>
      </c>
      <c r="BI421">
        <v>9</v>
      </c>
      <c r="BJ421" t="s">
        <v>7132</v>
      </c>
      <c r="BK421" t="s">
        <v>97</v>
      </c>
      <c r="BL421" t="s">
        <v>7132</v>
      </c>
      <c r="BM421" t="s">
        <v>7160</v>
      </c>
      <c r="BN421" t="s">
        <v>74</v>
      </c>
      <c r="BO421" t="s">
        <v>179</v>
      </c>
      <c r="BP421" t="s">
        <v>74</v>
      </c>
      <c r="BQ421" t="s">
        <v>74</v>
      </c>
      <c r="BR421" t="s">
        <v>100</v>
      </c>
      <c r="BS421" t="s">
        <v>7161</v>
      </c>
      <c r="BT421" t="str">
        <f>HYPERLINK("https%3A%2F%2Fwww.webofscience.com%2Fwos%2Fwoscc%2Ffull-record%2FWOS:000255145000003","View Full Record in Web of Science")</f>
        <v>View Full Record in Web of Science</v>
      </c>
    </row>
    <row r="422" spans="1:72" x14ac:dyDescent="0.15">
      <c r="A422" t="s">
        <v>72</v>
      </c>
      <c r="B422" t="s">
        <v>7117</v>
      </c>
      <c r="C422" t="s">
        <v>74</v>
      </c>
      <c r="D422" t="s">
        <v>74</v>
      </c>
      <c r="E422" t="s">
        <v>74</v>
      </c>
      <c r="F422" t="s">
        <v>7118</v>
      </c>
      <c r="G422" t="s">
        <v>74</v>
      </c>
      <c r="H422" t="s">
        <v>74</v>
      </c>
      <c r="I422" t="s">
        <v>7119</v>
      </c>
      <c r="J422" t="s">
        <v>7120</v>
      </c>
      <c r="K422" t="s">
        <v>74</v>
      </c>
      <c r="L422" t="s">
        <v>74</v>
      </c>
      <c r="M422" t="s">
        <v>78</v>
      </c>
      <c r="N422" t="s">
        <v>79</v>
      </c>
      <c r="O422" t="s">
        <v>74</v>
      </c>
      <c r="P422" t="s">
        <v>74</v>
      </c>
      <c r="Q422" t="s">
        <v>74</v>
      </c>
      <c r="R422" t="s">
        <v>74</v>
      </c>
      <c r="S422" t="s">
        <v>74</v>
      </c>
      <c r="T422" t="s">
        <v>7121</v>
      </c>
      <c r="U422" t="s">
        <v>7162</v>
      </c>
      <c r="V422" t="s">
        <v>7163</v>
      </c>
      <c r="W422" t="s">
        <v>7164</v>
      </c>
      <c r="X422" t="s">
        <v>5048</v>
      </c>
      <c r="Y422" t="s">
        <v>7165</v>
      </c>
      <c r="Z422" t="s">
        <v>7125</v>
      </c>
      <c r="AA422" t="s">
        <v>74</v>
      </c>
      <c r="AB422" t="s">
        <v>74</v>
      </c>
      <c r="AC422" t="s">
        <v>74</v>
      </c>
      <c r="AD422" t="s">
        <v>74</v>
      </c>
      <c r="AE422" t="s">
        <v>74</v>
      </c>
      <c r="AF422" t="s">
        <v>74</v>
      </c>
      <c r="AG422">
        <v>28</v>
      </c>
      <c r="AH422">
        <v>1</v>
      </c>
      <c r="AI422">
        <v>1</v>
      </c>
      <c r="AJ422">
        <v>0</v>
      </c>
      <c r="AK422">
        <v>2</v>
      </c>
      <c r="AL422" t="s">
        <v>7126</v>
      </c>
      <c r="AM422" t="s">
        <v>7127</v>
      </c>
      <c r="AN422" t="s">
        <v>7128</v>
      </c>
      <c r="AO422" t="s">
        <v>7129</v>
      </c>
      <c r="AP422" t="s">
        <v>74</v>
      </c>
      <c r="AQ422" t="s">
        <v>74</v>
      </c>
      <c r="AR422" t="s">
        <v>7130</v>
      </c>
      <c r="AS422" t="s">
        <v>7131</v>
      </c>
      <c r="AT422" t="s">
        <v>74</v>
      </c>
      <c r="AU422">
        <v>2008</v>
      </c>
      <c r="AV422">
        <v>8</v>
      </c>
      <c r="AW422">
        <v>4</v>
      </c>
      <c r="AX422" t="s">
        <v>74</v>
      </c>
      <c r="AY422" t="s">
        <v>74</v>
      </c>
      <c r="AZ422" t="s">
        <v>74</v>
      </c>
      <c r="BA422" t="s">
        <v>74</v>
      </c>
      <c r="BB422" t="s">
        <v>74</v>
      </c>
      <c r="BC422" t="s">
        <v>74</v>
      </c>
      <c r="BD422" t="s">
        <v>74</v>
      </c>
      <c r="BE422" t="s">
        <v>74</v>
      </c>
      <c r="BF422" t="s">
        <v>74</v>
      </c>
      <c r="BG422" t="s">
        <v>74</v>
      </c>
      <c r="BH422" t="s">
        <v>74</v>
      </c>
      <c r="BI422">
        <v>31</v>
      </c>
      <c r="BJ422" t="s">
        <v>7132</v>
      </c>
      <c r="BK422" t="s">
        <v>97</v>
      </c>
      <c r="BL422" t="s">
        <v>7132</v>
      </c>
      <c r="BM422" t="s">
        <v>7133</v>
      </c>
      <c r="BN422" t="s">
        <v>74</v>
      </c>
      <c r="BO422" t="s">
        <v>74</v>
      </c>
      <c r="BP422" t="s">
        <v>74</v>
      </c>
      <c r="BQ422" t="s">
        <v>74</v>
      </c>
      <c r="BR422" t="s">
        <v>100</v>
      </c>
      <c r="BS422" t="s">
        <v>7166</v>
      </c>
      <c r="BT422" t="str">
        <f>HYPERLINK("https%3A%2F%2Fwww.webofscience.com%2Fwos%2Fwoscc%2Ffull-record%2FWOS:000261849300009","View Full Record in Web of Science")</f>
        <v>View Full Record in Web of Science</v>
      </c>
    </row>
    <row r="423" spans="1:72" x14ac:dyDescent="0.15">
      <c r="A423" t="s">
        <v>72</v>
      </c>
      <c r="B423" t="s">
        <v>7167</v>
      </c>
      <c r="C423" t="s">
        <v>74</v>
      </c>
      <c r="D423" t="s">
        <v>74</v>
      </c>
      <c r="E423" t="s">
        <v>74</v>
      </c>
      <c r="F423" t="s">
        <v>7168</v>
      </c>
      <c r="G423" t="s">
        <v>74</v>
      </c>
      <c r="H423" t="s">
        <v>74</v>
      </c>
      <c r="I423" t="s">
        <v>7169</v>
      </c>
      <c r="J423" t="s">
        <v>7170</v>
      </c>
      <c r="K423" t="s">
        <v>74</v>
      </c>
      <c r="L423" t="s">
        <v>74</v>
      </c>
      <c r="M423" t="s">
        <v>78</v>
      </c>
      <c r="N423" t="s">
        <v>79</v>
      </c>
      <c r="O423" t="s">
        <v>74</v>
      </c>
      <c r="P423" t="s">
        <v>74</v>
      </c>
      <c r="Q423" t="s">
        <v>74</v>
      </c>
      <c r="R423" t="s">
        <v>74</v>
      </c>
      <c r="S423" t="s">
        <v>74</v>
      </c>
      <c r="T423" t="s">
        <v>7171</v>
      </c>
      <c r="U423" t="s">
        <v>74</v>
      </c>
      <c r="V423" t="s">
        <v>7172</v>
      </c>
      <c r="W423" t="s">
        <v>7173</v>
      </c>
      <c r="X423" t="s">
        <v>7174</v>
      </c>
      <c r="Y423" t="s">
        <v>7175</v>
      </c>
      <c r="Z423" t="s">
        <v>7176</v>
      </c>
      <c r="AA423" t="s">
        <v>7177</v>
      </c>
      <c r="AB423" t="s">
        <v>7178</v>
      </c>
      <c r="AC423" t="s">
        <v>74</v>
      </c>
      <c r="AD423" t="s">
        <v>74</v>
      </c>
      <c r="AE423" t="s">
        <v>74</v>
      </c>
      <c r="AF423" t="s">
        <v>74</v>
      </c>
      <c r="AG423">
        <v>28</v>
      </c>
      <c r="AH423">
        <v>8</v>
      </c>
      <c r="AI423">
        <v>9</v>
      </c>
      <c r="AJ423">
        <v>0</v>
      </c>
      <c r="AK423">
        <v>5</v>
      </c>
      <c r="AL423" t="s">
        <v>1240</v>
      </c>
      <c r="AM423" t="s">
        <v>1241</v>
      </c>
      <c r="AN423" t="s">
        <v>1242</v>
      </c>
      <c r="AO423" t="s">
        <v>7179</v>
      </c>
      <c r="AP423" t="s">
        <v>7180</v>
      </c>
      <c r="AQ423" t="s">
        <v>74</v>
      </c>
      <c r="AR423" t="s">
        <v>7181</v>
      </c>
      <c r="AS423" t="s">
        <v>7182</v>
      </c>
      <c r="AT423" t="s">
        <v>74</v>
      </c>
      <c r="AU423">
        <v>2008</v>
      </c>
      <c r="AV423">
        <v>82</v>
      </c>
      <c r="AW423">
        <v>3</v>
      </c>
      <c r="AX423" t="s">
        <v>74</v>
      </c>
      <c r="AY423" t="s">
        <v>74</v>
      </c>
      <c r="AZ423" t="s">
        <v>74</v>
      </c>
      <c r="BA423" t="s">
        <v>74</v>
      </c>
      <c r="BB423">
        <v>262</v>
      </c>
      <c r="BC423">
        <v>268</v>
      </c>
      <c r="BD423" t="s">
        <v>74</v>
      </c>
      <c r="BE423" t="s">
        <v>7183</v>
      </c>
      <c r="BF423" t="str">
        <f>HYPERLINK("http://dx.doi.org/10.1007/BF02988893","http://dx.doi.org/10.1007/BF02988893")</f>
        <v>http://dx.doi.org/10.1007/BF02988893</v>
      </c>
      <c r="BG423" t="s">
        <v>74</v>
      </c>
      <c r="BH423" t="s">
        <v>74</v>
      </c>
      <c r="BI423">
        <v>7</v>
      </c>
      <c r="BJ423" t="s">
        <v>1426</v>
      </c>
      <c r="BK423" t="s">
        <v>97</v>
      </c>
      <c r="BL423" t="s">
        <v>1426</v>
      </c>
      <c r="BM423" t="s">
        <v>7184</v>
      </c>
      <c r="BN423" t="s">
        <v>74</v>
      </c>
      <c r="BO423" t="s">
        <v>74</v>
      </c>
      <c r="BP423" t="s">
        <v>74</v>
      </c>
      <c r="BQ423" t="s">
        <v>74</v>
      </c>
      <c r="BR423" t="s">
        <v>100</v>
      </c>
      <c r="BS423" t="s">
        <v>7185</v>
      </c>
      <c r="BT423" t="str">
        <f>HYPERLINK("https%3A%2F%2Fwww.webofscience.com%2Fwos%2Fwoscc%2Ffull-record%2FWOS:000259918500003","View Full Record in Web of Science")</f>
        <v>View Full Record in Web of Science</v>
      </c>
    </row>
    <row r="424" spans="1:72" x14ac:dyDescent="0.15">
      <c r="A424" t="s">
        <v>816</v>
      </c>
      <c r="B424" t="s">
        <v>7186</v>
      </c>
      <c r="C424" t="s">
        <v>74</v>
      </c>
      <c r="D424" t="s">
        <v>7187</v>
      </c>
      <c r="E424" t="s">
        <v>74</v>
      </c>
      <c r="F424" t="s">
        <v>7188</v>
      </c>
      <c r="G424" t="s">
        <v>74</v>
      </c>
      <c r="H424" t="s">
        <v>74</v>
      </c>
      <c r="I424" t="s">
        <v>7189</v>
      </c>
      <c r="J424" t="s">
        <v>7190</v>
      </c>
      <c r="K424" t="s">
        <v>7191</v>
      </c>
      <c r="L424" t="s">
        <v>74</v>
      </c>
      <c r="M424" t="s">
        <v>78</v>
      </c>
      <c r="N424" t="s">
        <v>823</v>
      </c>
      <c r="O424" t="s">
        <v>7192</v>
      </c>
      <c r="P424" t="s">
        <v>7193</v>
      </c>
      <c r="Q424" t="s">
        <v>7194</v>
      </c>
      <c r="R424" t="s">
        <v>74</v>
      </c>
      <c r="S424" t="s">
        <v>74</v>
      </c>
      <c r="T424" t="s">
        <v>7195</v>
      </c>
      <c r="U424" t="s">
        <v>7196</v>
      </c>
      <c r="V424" t="s">
        <v>7197</v>
      </c>
      <c r="W424" t="s">
        <v>7198</v>
      </c>
      <c r="X424" t="s">
        <v>7199</v>
      </c>
      <c r="Y424" t="s">
        <v>7200</v>
      </c>
      <c r="Z424" t="s">
        <v>74</v>
      </c>
      <c r="AA424" t="s">
        <v>7201</v>
      </c>
      <c r="AB424" t="s">
        <v>7202</v>
      </c>
      <c r="AC424" t="s">
        <v>74</v>
      </c>
      <c r="AD424" t="s">
        <v>74</v>
      </c>
      <c r="AE424" t="s">
        <v>74</v>
      </c>
      <c r="AF424" t="s">
        <v>74</v>
      </c>
      <c r="AG424">
        <v>19</v>
      </c>
      <c r="AH424">
        <v>0</v>
      </c>
      <c r="AI424">
        <v>0</v>
      </c>
      <c r="AJ424">
        <v>0</v>
      </c>
      <c r="AK424">
        <v>0</v>
      </c>
      <c r="AL424" t="s">
        <v>6876</v>
      </c>
      <c r="AM424" t="s">
        <v>6877</v>
      </c>
      <c r="AN424" t="s">
        <v>6878</v>
      </c>
      <c r="AO424" t="s">
        <v>7203</v>
      </c>
      <c r="AP424" t="s">
        <v>74</v>
      </c>
      <c r="AQ424" t="s">
        <v>7204</v>
      </c>
      <c r="AR424" t="s">
        <v>7205</v>
      </c>
      <c r="AS424" t="s">
        <v>74</v>
      </c>
      <c r="AT424" t="s">
        <v>74</v>
      </c>
      <c r="AU424">
        <v>2008</v>
      </c>
      <c r="AV424">
        <v>1039</v>
      </c>
      <c r="AW424" t="s">
        <v>74</v>
      </c>
      <c r="AX424" t="s">
        <v>74</v>
      </c>
      <c r="AY424" t="s">
        <v>74</v>
      </c>
      <c r="AZ424" t="s">
        <v>74</v>
      </c>
      <c r="BA424" t="s">
        <v>74</v>
      </c>
      <c r="BB424">
        <v>26</v>
      </c>
      <c r="BC424" t="s">
        <v>865</v>
      </c>
      <c r="BD424" t="s">
        <v>74</v>
      </c>
      <c r="BE424" t="s">
        <v>74</v>
      </c>
      <c r="BF424" t="s">
        <v>74</v>
      </c>
      <c r="BG424" t="s">
        <v>74</v>
      </c>
      <c r="BH424" t="s">
        <v>74</v>
      </c>
      <c r="BI424">
        <v>2</v>
      </c>
      <c r="BJ424" t="s">
        <v>351</v>
      </c>
      <c r="BK424" t="s">
        <v>842</v>
      </c>
      <c r="BL424" t="s">
        <v>351</v>
      </c>
      <c r="BM424" t="s">
        <v>7206</v>
      </c>
      <c r="BN424" t="s">
        <v>74</v>
      </c>
      <c r="BO424" t="s">
        <v>250</v>
      </c>
      <c r="BP424" t="s">
        <v>74</v>
      </c>
      <c r="BQ424" t="s">
        <v>74</v>
      </c>
      <c r="BR424" t="s">
        <v>100</v>
      </c>
      <c r="BS424" t="s">
        <v>7207</v>
      </c>
      <c r="BT424" t="str">
        <f>HYPERLINK("https%3A%2F%2Fwww.webofscience.com%2Fwos%2Fwoscc%2Ffull-record%2FWOS:000259432300004","View Full Record in Web of Science")</f>
        <v>View Full Record in Web of Science</v>
      </c>
    </row>
    <row r="425" spans="1:72" x14ac:dyDescent="0.15">
      <c r="A425" t="s">
        <v>72</v>
      </c>
      <c r="B425" t="s">
        <v>7208</v>
      </c>
      <c r="C425" t="s">
        <v>74</v>
      </c>
      <c r="D425" t="s">
        <v>74</v>
      </c>
      <c r="E425" t="s">
        <v>74</v>
      </c>
      <c r="F425" t="s">
        <v>7209</v>
      </c>
      <c r="G425" t="s">
        <v>74</v>
      </c>
      <c r="H425" t="s">
        <v>74</v>
      </c>
      <c r="I425" t="s">
        <v>7210</v>
      </c>
      <c r="J425" t="s">
        <v>7211</v>
      </c>
      <c r="K425" t="s">
        <v>74</v>
      </c>
      <c r="L425" t="s">
        <v>74</v>
      </c>
      <c r="M425" t="s">
        <v>78</v>
      </c>
      <c r="N425" t="s">
        <v>79</v>
      </c>
      <c r="O425" t="s">
        <v>74</v>
      </c>
      <c r="P425" t="s">
        <v>74</v>
      </c>
      <c r="Q425" t="s">
        <v>74</v>
      </c>
      <c r="R425" t="s">
        <v>74</v>
      </c>
      <c r="S425" t="s">
        <v>74</v>
      </c>
      <c r="T425" t="s">
        <v>74</v>
      </c>
      <c r="U425" t="s">
        <v>7212</v>
      </c>
      <c r="V425" t="s">
        <v>7213</v>
      </c>
      <c r="W425" t="s">
        <v>7214</v>
      </c>
      <c r="X425" t="s">
        <v>7215</v>
      </c>
      <c r="Y425" t="s">
        <v>7216</v>
      </c>
      <c r="Z425" t="s">
        <v>7217</v>
      </c>
      <c r="AA425" t="s">
        <v>7218</v>
      </c>
      <c r="AB425" t="s">
        <v>7219</v>
      </c>
      <c r="AC425" t="s">
        <v>74</v>
      </c>
      <c r="AD425" t="s">
        <v>74</v>
      </c>
      <c r="AE425" t="s">
        <v>74</v>
      </c>
      <c r="AF425" t="s">
        <v>74</v>
      </c>
      <c r="AG425">
        <v>42</v>
      </c>
      <c r="AH425">
        <v>88</v>
      </c>
      <c r="AI425">
        <v>94</v>
      </c>
      <c r="AJ425">
        <v>1</v>
      </c>
      <c r="AK425">
        <v>21</v>
      </c>
      <c r="AL425" t="s">
        <v>1219</v>
      </c>
      <c r="AM425" t="s">
        <v>89</v>
      </c>
      <c r="AN425" t="s">
        <v>90</v>
      </c>
      <c r="AO425" t="s">
        <v>7220</v>
      </c>
      <c r="AP425" t="s">
        <v>7221</v>
      </c>
      <c r="AQ425" t="s">
        <v>74</v>
      </c>
      <c r="AR425" t="s">
        <v>7222</v>
      </c>
      <c r="AS425" t="s">
        <v>7223</v>
      </c>
      <c r="AT425" t="s">
        <v>7224</v>
      </c>
      <c r="AU425">
        <v>2008</v>
      </c>
      <c r="AV425">
        <v>84</v>
      </c>
      <c r="AW425">
        <v>1</v>
      </c>
      <c r="AX425" t="s">
        <v>74</v>
      </c>
      <c r="AY425" t="s">
        <v>74</v>
      </c>
      <c r="AZ425" t="s">
        <v>74</v>
      </c>
      <c r="BA425" t="s">
        <v>74</v>
      </c>
      <c r="BB425">
        <v>172</v>
      </c>
      <c r="BC425">
        <v>179</v>
      </c>
      <c r="BD425" t="s">
        <v>74</v>
      </c>
      <c r="BE425" t="s">
        <v>7225</v>
      </c>
      <c r="BF425" t="str">
        <f>HYPERLINK("http://dx.doi.org/10.1111/j.1751-1097.2007.00216.x","http://dx.doi.org/10.1111/j.1751-1097.2007.00216.x")</f>
        <v>http://dx.doi.org/10.1111/j.1751-1097.2007.00216.x</v>
      </c>
      <c r="BG425" t="s">
        <v>74</v>
      </c>
      <c r="BH425" t="s">
        <v>74</v>
      </c>
      <c r="BI425">
        <v>8</v>
      </c>
      <c r="BJ425" t="s">
        <v>7226</v>
      </c>
      <c r="BK425" t="s">
        <v>97</v>
      </c>
      <c r="BL425" t="s">
        <v>7226</v>
      </c>
      <c r="BM425" t="s">
        <v>7227</v>
      </c>
      <c r="BN425">
        <v>18173717</v>
      </c>
      <c r="BO425" t="s">
        <v>250</v>
      </c>
      <c r="BP425" t="s">
        <v>74</v>
      </c>
      <c r="BQ425" t="s">
        <v>74</v>
      </c>
      <c r="BR425" t="s">
        <v>100</v>
      </c>
      <c r="BS425" t="s">
        <v>7228</v>
      </c>
      <c r="BT425" t="str">
        <f>HYPERLINK("https%3A%2F%2Fwww.webofscience.com%2Fwos%2Fwoscc%2Ffull-record%2FWOS:000252506900024","View Full Record in Web of Science")</f>
        <v>View Full Record in Web of Science</v>
      </c>
    </row>
    <row r="426" spans="1:72" x14ac:dyDescent="0.15">
      <c r="A426" t="s">
        <v>72</v>
      </c>
      <c r="B426" t="s">
        <v>7229</v>
      </c>
      <c r="C426" t="s">
        <v>74</v>
      </c>
      <c r="D426" t="s">
        <v>74</v>
      </c>
      <c r="E426" t="s">
        <v>74</v>
      </c>
      <c r="F426" t="s">
        <v>7230</v>
      </c>
      <c r="G426" t="s">
        <v>74</v>
      </c>
      <c r="H426" t="s">
        <v>74</v>
      </c>
      <c r="I426" t="s">
        <v>7231</v>
      </c>
      <c r="J426" t="s">
        <v>7232</v>
      </c>
      <c r="K426" t="s">
        <v>74</v>
      </c>
      <c r="L426" t="s">
        <v>74</v>
      </c>
      <c r="M426" t="s">
        <v>78</v>
      </c>
      <c r="N426" t="s">
        <v>79</v>
      </c>
      <c r="O426" t="s">
        <v>74</v>
      </c>
      <c r="P426" t="s">
        <v>74</v>
      </c>
      <c r="Q426" t="s">
        <v>74</v>
      </c>
      <c r="R426" t="s">
        <v>74</v>
      </c>
      <c r="S426" t="s">
        <v>74</v>
      </c>
      <c r="T426" t="s">
        <v>7233</v>
      </c>
      <c r="U426" t="s">
        <v>7234</v>
      </c>
      <c r="V426" t="s">
        <v>7235</v>
      </c>
      <c r="W426" t="s">
        <v>7236</v>
      </c>
      <c r="X426" t="s">
        <v>7237</v>
      </c>
      <c r="Y426" t="s">
        <v>7238</v>
      </c>
      <c r="Z426" t="s">
        <v>7239</v>
      </c>
      <c r="AA426" t="s">
        <v>74</v>
      </c>
      <c r="AB426" t="s">
        <v>7240</v>
      </c>
      <c r="AC426" t="s">
        <v>74</v>
      </c>
      <c r="AD426" t="s">
        <v>74</v>
      </c>
      <c r="AE426" t="s">
        <v>74</v>
      </c>
      <c r="AF426" t="s">
        <v>74</v>
      </c>
      <c r="AG426">
        <v>28</v>
      </c>
      <c r="AH426">
        <v>36</v>
      </c>
      <c r="AI426">
        <v>40</v>
      </c>
      <c r="AJ426">
        <v>0</v>
      </c>
      <c r="AK426">
        <v>20</v>
      </c>
      <c r="AL426" t="s">
        <v>7241</v>
      </c>
      <c r="AM426" t="s">
        <v>7242</v>
      </c>
      <c r="AN426" t="s">
        <v>7243</v>
      </c>
      <c r="AO426" t="s">
        <v>7244</v>
      </c>
      <c r="AP426" t="s">
        <v>74</v>
      </c>
      <c r="AQ426" t="s">
        <v>74</v>
      </c>
      <c r="AR426" t="s">
        <v>7232</v>
      </c>
      <c r="AS426" t="s">
        <v>7245</v>
      </c>
      <c r="AT426" t="s">
        <v>1490</v>
      </c>
      <c r="AU426">
        <v>2008</v>
      </c>
      <c r="AV426">
        <v>47</v>
      </c>
      <c r="AW426">
        <v>1</v>
      </c>
      <c r="AX426" t="s">
        <v>74</v>
      </c>
      <c r="AY426" t="s">
        <v>74</v>
      </c>
      <c r="AZ426" t="s">
        <v>74</v>
      </c>
      <c r="BA426" t="s">
        <v>74</v>
      </c>
      <c r="BB426">
        <v>28</v>
      </c>
      <c r="BC426">
        <v>34</v>
      </c>
      <c r="BD426" t="s">
        <v>74</v>
      </c>
      <c r="BE426" t="s">
        <v>7246</v>
      </c>
      <c r="BF426" t="str">
        <f>HYPERLINK("http://dx.doi.org/10.2216/07-28.1","http://dx.doi.org/10.2216/07-28.1")</f>
        <v>http://dx.doi.org/10.2216/07-28.1</v>
      </c>
      <c r="BG426" t="s">
        <v>74</v>
      </c>
      <c r="BH426" t="s">
        <v>74</v>
      </c>
      <c r="BI426">
        <v>7</v>
      </c>
      <c r="BJ426" t="s">
        <v>4090</v>
      </c>
      <c r="BK426" t="s">
        <v>97</v>
      </c>
      <c r="BL426" t="s">
        <v>4090</v>
      </c>
      <c r="BM426" t="s">
        <v>7247</v>
      </c>
      <c r="BN426" t="s">
        <v>74</v>
      </c>
      <c r="BO426" t="s">
        <v>74</v>
      </c>
      <c r="BP426" t="s">
        <v>74</v>
      </c>
      <c r="BQ426" t="s">
        <v>74</v>
      </c>
      <c r="BR426" t="s">
        <v>100</v>
      </c>
      <c r="BS426" t="s">
        <v>7248</v>
      </c>
      <c r="BT426" t="str">
        <f>HYPERLINK("https%3A%2F%2Fwww.webofscience.com%2Fwos%2Fwoscc%2Ffull-record%2FWOS:000252288800004","View Full Record in Web of Science")</f>
        <v>View Full Record in Web of Science</v>
      </c>
    </row>
    <row r="427" spans="1:72" x14ac:dyDescent="0.15">
      <c r="A427" t="s">
        <v>72</v>
      </c>
      <c r="B427" t="s">
        <v>7249</v>
      </c>
      <c r="C427" t="s">
        <v>74</v>
      </c>
      <c r="D427" t="s">
        <v>74</v>
      </c>
      <c r="E427" t="s">
        <v>74</v>
      </c>
      <c r="F427" t="s">
        <v>7250</v>
      </c>
      <c r="G427" t="s">
        <v>74</v>
      </c>
      <c r="H427" t="s">
        <v>74</v>
      </c>
      <c r="I427" t="s">
        <v>7251</v>
      </c>
      <c r="J427" t="s">
        <v>7252</v>
      </c>
      <c r="K427" t="s">
        <v>74</v>
      </c>
      <c r="L427" t="s">
        <v>74</v>
      </c>
      <c r="M427" t="s">
        <v>78</v>
      </c>
      <c r="N427" t="s">
        <v>79</v>
      </c>
      <c r="O427" t="s">
        <v>74</v>
      </c>
      <c r="P427" t="s">
        <v>74</v>
      </c>
      <c r="Q427" t="s">
        <v>74</v>
      </c>
      <c r="R427" t="s">
        <v>74</v>
      </c>
      <c r="S427" t="s">
        <v>74</v>
      </c>
      <c r="T427" t="s">
        <v>74</v>
      </c>
      <c r="U427" t="s">
        <v>74</v>
      </c>
      <c r="V427" t="s">
        <v>7253</v>
      </c>
      <c r="W427" t="s">
        <v>7254</v>
      </c>
      <c r="X427" t="s">
        <v>7255</v>
      </c>
      <c r="Y427" t="s">
        <v>7256</v>
      </c>
      <c r="Z427" t="s">
        <v>7257</v>
      </c>
      <c r="AA427" t="s">
        <v>7258</v>
      </c>
      <c r="AB427" t="s">
        <v>7259</v>
      </c>
      <c r="AC427" t="s">
        <v>74</v>
      </c>
      <c r="AD427" t="s">
        <v>74</v>
      </c>
      <c r="AE427" t="s">
        <v>74</v>
      </c>
      <c r="AF427" t="s">
        <v>74</v>
      </c>
      <c r="AG427">
        <v>46</v>
      </c>
      <c r="AH427">
        <v>73</v>
      </c>
      <c r="AI427">
        <v>78</v>
      </c>
      <c r="AJ427">
        <v>0</v>
      </c>
      <c r="AK427">
        <v>37</v>
      </c>
      <c r="AL427" t="s">
        <v>1331</v>
      </c>
      <c r="AM427" t="s">
        <v>1421</v>
      </c>
      <c r="AN427" t="s">
        <v>1422</v>
      </c>
      <c r="AO427" t="s">
        <v>7260</v>
      </c>
      <c r="AP427" t="s">
        <v>74</v>
      </c>
      <c r="AQ427" t="s">
        <v>74</v>
      </c>
      <c r="AR427" t="s">
        <v>7261</v>
      </c>
      <c r="AS427" t="s">
        <v>7262</v>
      </c>
      <c r="AT427" t="s">
        <v>74</v>
      </c>
      <c r="AU427">
        <v>2008</v>
      </c>
      <c r="AV427">
        <v>1</v>
      </c>
      <c r="AW427">
        <v>1</v>
      </c>
      <c r="AX427" t="s">
        <v>74</v>
      </c>
      <c r="AY427" t="s">
        <v>74</v>
      </c>
      <c r="AZ427" t="s">
        <v>74</v>
      </c>
      <c r="BA427" t="s">
        <v>74</v>
      </c>
      <c r="BB427">
        <v>3</v>
      </c>
      <c r="BC427">
        <v>11</v>
      </c>
      <c r="BD427" t="s">
        <v>74</v>
      </c>
      <c r="BE427" t="s">
        <v>7263</v>
      </c>
      <c r="BF427" t="str">
        <f>HYPERLINK("http://dx.doi.org/10.1080/17550870802273411","http://dx.doi.org/10.1080/17550870802273411")</f>
        <v>http://dx.doi.org/10.1080/17550870802273411</v>
      </c>
      <c r="BG427" t="s">
        <v>74</v>
      </c>
      <c r="BH427" t="s">
        <v>74</v>
      </c>
      <c r="BI427">
        <v>9</v>
      </c>
      <c r="BJ427" t="s">
        <v>6860</v>
      </c>
      <c r="BK427" t="s">
        <v>97</v>
      </c>
      <c r="BL427" t="s">
        <v>6860</v>
      </c>
      <c r="BM427" t="s">
        <v>7264</v>
      </c>
      <c r="BN427" t="s">
        <v>74</v>
      </c>
      <c r="BO427" t="s">
        <v>74</v>
      </c>
      <c r="BP427" t="s">
        <v>74</v>
      </c>
      <c r="BQ427" t="s">
        <v>74</v>
      </c>
      <c r="BR427" t="s">
        <v>100</v>
      </c>
      <c r="BS427" t="s">
        <v>7265</v>
      </c>
      <c r="BT427" t="str">
        <f>HYPERLINK("https%3A%2F%2Fwww.webofscience.com%2Fwos%2Fwoscc%2Ffull-record%2FWOS:000262132400002","View Full Record in Web of Science")</f>
        <v>View Full Record in Web of Science</v>
      </c>
    </row>
    <row r="428" spans="1:72" x14ac:dyDescent="0.15">
      <c r="A428" t="s">
        <v>72</v>
      </c>
      <c r="B428" t="s">
        <v>7266</v>
      </c>
      <c r="C428" t="s">
        <v>74</v>
      </c>
      <c r="D428" t="s">
        <v>74</v>
      </c>
      <c r="E428" t="s">
        <v>74</v>
      </c>
      <c r="F428" t="s">
        <v>7267</v>
      </c>
      <c r="G428" t="s">
        <v>74</v>
      </c>
      <c r="H428" t="s">
        <v>74</v>
      </c>
      <c r="I428" t="s">
        <v>7268</v>
      </c>
      <c r="J428" t="s">
        <v>7269</v>
      </c>
      <c r="K428" t="s">
        <v>74</v>
      </c>
      <c r="L428" t="s">
        <v>74</v>
      </c>
      <c r="M428" t="s">
        <v>78</v>
      </c>
      <c r="N428" t="s">
        <v>79</v>
      </c>
      <c r="O428" t="s">
        <v>74</v>
      </c>
      <c r="P428" t="s">
        <v>74</v>
      </c>
      <c r="Q428" t="s">
        <v>74</v>
      </c>
      <c r="R428" t="s">
        <v>74</v>
      </c>
      <c r="S428" t="s">
        <v>74</v>
      </c>
      <c r="T428" t="s">
        <v>7270</v>
      </c>
      <c r="U428" t="s">
        <v>7271</v>
      </c>
      <c r="V428" t="s">
        <v>7272</v>
      </c>
      <c r="W428" t="s">
        <v>7273</v>
      </c>
      <c r="X428" t="s">
        <v>7274</v>
      </c>
      <c r="Y428" t="s">
        <v>7275</v>
      </c>
      <c r="Z428" t="s">
        <v>7276</v>
      </c>
      <c r="AA428" t="s">
        <v>74</v>
      </c>
      <c r="AB428" t="s">
        <v>74</v>
      </c>
      <c r="AC428" t="s">
        <v>6055</v>
      </c>
      <c r="AD428" t="s">
        <v>444</v>
      </c>
      <c r="AE428" t="s">
        <v>74</v>
      </c>
      <c r="AF428" t="s">
        <v>74</v>
      </c>
      <c r="AG428">
        <v>36</v>
      </c>
      <c r="AH428">
        <v>14</v>
      </c>
      <c r="AI428">
        <v>17</v>
      </c>
      <c r="AJ428">
        <v>1</v>
      </c>
      <c r="AK428">
        <v>8</v>
      </c>
      <c r="AL428" t="s">
        <v>1265</v>
      </c>
      <c r="AM428" t="s">
        <v>662</v>
      </c>
      <c r="AN428" t="s">
        <v>1298</v>
      </c>
      <c r="AO428" t="s">
        <v>7277</v>
      </c>
      <c r="AP428" t="s">
        <v>7278</v>
      </c>
      <c r="AQ428" t="s">
        <v>74</v>
      </c>
      <c r="AR428" t="s">
        <v>7279</v>
      </c>
      <c r="AS428" t="s">
        <v>7280</v>
      </c>
      <c r="AT428" t="s">
        <v>1490</v>
      </c>
      <c r="AU428">
        <v>2008</v>
      </c>
      <c r="AV428">
        <v>31</v>
      </c>
      <c r="AW428">
        <v>2</v>
      </c>
      <c r="AX428" t="s">
        <v>74</v>
      </c>
      <c r="AY428" t="s">
        <v>74</v>
      </c>
      <c r="AZ428" t="s">
        <v>74</v>
      </c>
      <c r="BA428" t="s">
        <v>74</v>
      </c>
      <c r="BB428">
        <v>121</v>
      </c>
      <c r="BC428">
        <v>130</v>
      </c>
      <c r="BD428" t="s">
        <v>74</v>
      </c>
      <c r="BE428" t="s">
        <v>7281</v>
      </c>
      <c r="BF428" t="str">
        <f>HYPERLINK("http://dx.doi.org/10.1007/s00300-007-0339-2","http://dx.doi.org/10.1007/s00300-007-0339-2")</f>
        <v>http://dx.doi.org/10.1007/s00300-007-0339-2</v>
      </c>
      <c r="BG428" t="s">
        <v>74</v>
      </c>
      <c r="BH428" t="s">
        <v>74</v>
      </c>
      <c r="BI428">
        <v>10</v>
      </c>
      <c r="BJ428" t="s">
        <v>7282</v>
      </c>
      <c r="BK428" t="s">
        <v>97</v>
      </c>
      <c r="BL428" t="s">
        <v>7283</v>
      </c>
      <c r="BM428" t="s">
        <v>7284</v>
      </c>
      <c r="BN428" t="s">
        <v>74</v>
      </c>
      <c r="BO428" t="s">
        <v>74</v>
      </c>
      <c r="BP428" t="s">
        <v>74</v>
      </c>
      <c r="BQ428" t="s">
        <v>74</v>
      </c>
      <c r="BR428" t="s">
        <v>100</v>
      </c>
      <c r="BS428" t="s">
        <v>7285</v>
      </c>
      <c r="BT428" t="str">
        <f>HYPERLINK("https%3A%2F%2Fwww.webofscience.com%2Fwos%2Fwoscc%2Ffull-record%2FWOS:000251231000001","View Full Record in Web of Science")</f>
        <v>View Full Record in Web of Science</v>
      </c>
    </row>
    <row r="429" spans="1:72" x14ac:dyDescent="0.15">
      <c r="A429" t="s">
        <v>72</v>
      </c>
      <c r="B429" t="s">
        <v>7286</v>
      </c>
      <c r="C429" t="s">
        <v>74</v>
      </c>
      <c r="D429" t="s">
        <v>74</v>
      </c>
      <c r="E429" t="s">
        <v>74</v>
      </c>
      <c r="F429" t="s">
        <v>7287</v>
      </c>
      <c r="G429" t="s">
        <v>74</v>
      </c>
      <c r="H429" t="s">
        <v>74</v>
      </c>
      <c r="I429" t="s">
        <v>7288</v>
      </c>
      <c r="J429" t="s">
        <v>7269</v>
      </c>
      <c r="K429" t="s">
        <v>74</v>
      </c>
      <c r="L429" t="s">
        <v>74</v>
      </c>
      <c r="M429" t="s">
        <v>78</v>
      </c>
      <c r="N429" t="s">
        <v>79</v>
      </c>
      <c r="O429" t="s">
        <v>74</v>
      </c>
      <c r="P429" t="s">
        <v>74</v>
      </c>
      <c r="Q429" t="s">
        <v>74</v>
      </c>
      <c r="R429" t="s">
        <v>74</v>
      </c>
      <c r="S429" t="s">
        <v>74</v>
      </c>
      <c r="T429" t="s">
        <v>7289</v>
      </c>
      <c r="U429" t="s">
        <v>7290</v>
      </c>
      <c r="V429" t="s">
        <v>7291</v>
      </c>
      <c r="W429" t="s">
        <v>7292</v>
      </c>
      <c r="X429" t="s">
        <v>4530</v>
      </c>
      <c r="Y429" t="s">
        <v>7293</v>
      </c>
      <c r="Z429" t="s">
        <v>7294</v>
      </c>
      <c r="AA429" t="s">
        <v>74</v>
      </c>
      <c r="AB429" t="s">
        <v>74</v>
      </c>
      <c r="AC429" t="s">
        <v>74</v>
      </c>
      <c r="AD429" t="s">
        <v>74</v>
      </c>
      <c r="AE429" t="s">
        <v>74</v>
      </c>
      <c r="AF429" t="s">
        <v>74</v>
      </c>
      <c r="AG429">
        <v>27</v>
      </c>
      <c r="AH429">
        <v>15</v>
      </c>
      <c r="AI429">
        <v>20</v>
      </c>
      <c r="AJ429">
        <v>1</v>
      </c>
      <c r="AK429">
        <v>10</v>
      </c>
      <c r="AL429" t="s">
        <v>1265</v>
      </c>
      <c r="AM429" t="s">
        <v>662</v>
      </c>
      <c r="AN429" t="s">
        <v>1266</v>
      </c>
      <c r="AO429" t="s">
        <v>7277</v>
      </c>
      <c r="AP429" t="s">
        <v>7278</v>
      </c>
      <c r="AQ429" t="s">
        <v>74</v>
      </c>
      <c r="AR429" t="s">
        <v>7279</v>
      </c>
      <c r="AS429" t="s">
        <v>7280</v>
      </c>
      <c r="AT429" t="s">
        <v>1490</v>
      </c>
      <c r="AU429">
        <v>2008</v>
      </c>
      <c r="AV429">
        <v>31</v>
      </c>
      <c r="AW429">
        <v>2</v>
      </c>
      <c r="AX429" t="s">
        <v>74</v>
      </c>
      <c r="AY429" t="s">
        <v>74</v>
      </c>
      <c r="AZ429" t="s">
        <v>74</v>
      </c>
      <c r="BA429" t="s">
        <v>74</v>
      </c>
      <c r="BB429">
        <v>131</v>
      </c>
      <c r="BC429">
        <v>138</v>
      </c>
      <c r="BD429" t="s">
        <v>74</v>
      </c>
      <c r="BE429" t="s">
        <v>7295</v>
      </c>
      <c r="BF429" t="str">
        <f>HYPERLINK("http://dx.doi.org/10.1007/s00300-007-0340-9","http://dx.doi.org/10.1007/s00300-007-0340-9")</f>
        <v>http://dx.doi.org/10.1007/s00300-007-0340-9</v>
      </c>
      <c r="BG429" t="s">
        <v>74</v>
      </c>
      <c r="BH429" t="s">
        <v>74</v>
      </c>
      <c r="BI429">
        <v>8</v>
      </c>
      <c r="BJ429" t="s">
        <v>7282</v>
      </c>
      <c r="BK429" t="s">
        <v>97</v>
      </c>
      <c r="BL429" t="s">
        <v>7283</v>
      </c>
      <c r="BM429" t="s">
        <v>7284</v>
      </c>
      <c r="BN429" t="s">
        <v>74</v>
      </c>
      <c r="BO429" t="s">
        <v>74</v>
      </c>
      <c r="BP429" t="s">
        <v>74</v>
      </c>
      <c r="BQ429" t="s">
        <v>74</v>
      </c>
      <c r="BR429" t="s">
        <v>100</v>
      </c>
      <c r="BS429" t="s">
        <v>7296</v>
      </c>
      <c r="BT429" t="str">
        <f>HYPERLINK("https%3A%2F%2Fwww.webofscience.com%2Fwos%2Fwoscc%2Ffull-record%2FWOS:000251231000002","View Full Record in Web of Science")</f>
        <v>View Full Record in Web of Science</v>
      </c>
    </row>
    <row r="430" spans="1:72" x14ac:dyDescent="0.15">
      <c r="A430" t="s">
        <v>72</v>
      </c>
      <c r="B430" t="s">
        <v>7297</v>
      </c>
      <c r="C430" t="s">
        <v>74</v>
      </c>
      <c r="D430" t="s">
        <v>74</v>
      </c>
      <c r="E430" t="s">
        <v>74</v>
      </c>
      <c r="F430" t="s">
        <v>7298</v>
      </c>
      <c r="G430" t="s">
        <v>74</v>
      </c>
      <c r="H430" t="s">
        <v>74</v>
      </c>
      <c r="I430" t="s">
        <v>7299</v>
      </c>
      <c r="J430" t="s">
        <v>7269</v>
      </c>
      <c r="K430" t="s">
        <v>74</v>
      </c>
      <c r="L430" t="s">
        <v>74</v>
      </c>
      <c r="M430" t="s">
        <v>78</v>
      </c>
      <c r="N430" t="s">
        <v>79</v>
      </c>
      <c r="O430" t="s">
        <v>74</v>
      </c>
      <c r="P430" t="s">
        <v>74</v>
      </c>
      <c r="Q430" t="s">
        <v>74</v>
      </c>
      <c r="R430" t="s">
        <v>74</v>
      </c>
      <c r="S430" t="s">
        <v>74</v>
      </c>
      <c r="T430" t="s">
        <v>7300</v>
      </c>
      <c r="U430" t="s">
        <v>7301</v>
      </c>
      <c r="V430" t="s">
        <v>7302</v>
      </c>
      <c r="W430" t="s">
        <v>7303</v>
      </c>
      <c r="X430" t="s">
        <v>7304</v>
      </c>
      <c r="Y430" t="s">
        <v>7305</v>
      </c>
      <c r="Z430" t="s">
        <v>7306</v>
      </c>
      <c r="AA430" t="s">
        <v>7307</v>
      </c>
      <c r="AB430" t="s">
        <v>7308</v>
      </c>
      <c r="AC430" t="s">
        <v>74</v>
      </c>
      <c r="AD430" t="s">
        <v>74</v>
      </c>
      <c r="AE430" t="s">
        <v>74</v>
      </c>
      <c r="AF430" t="s">
        <v>74</v>
      </c>
      <c r="AG430">
        <v>60</v>
      </c>
      <c r="AH430">
        <v>45</v>
      </c>
      <c r="AI430">
        <v>47</v>
      </c>
      <c r="AJ430">
        <v>1</v>
      </c>
      <c r="AK430">
        <v>23</v>
      </c>
      <c r="AL430" t="s">
        <v>1265</v>
      </c>
      <c r="AM430" t="s">
        <v>662</v>
      </c>
      <c r="AN430" t="s">
        <v>1298</v>
      </c>
      <c r="AO430" t="s">
        <v>7277</v>
      </c>
      <c r="AP430" t="s">
        <v>7278</v>
      </c>
      <c r="AQ430" t="s">
        <v>74</v>
      </c>
      <c r="AR430" t="s">
        <v>7279</v>
      </c>
      <c r="AS430" t="s">
        <v>7280</v>
      </c>
      <c r="AT430" t="s">
        <v>1490</v>
      </c>
      <c r="AU430">
        <v>2008</v>
      </c>
      <c r="AV430">
        <v>31</v>
      </c>
      <c r="AW430">
        <v>2</v>
      </c>
      <c r="AX430" t="s">
        <v>74</v>
      </c>
      <c r="AY430" t="s">
        <v>74</v>
      </c>
      <c r="AZ430" t="s">
        <v>74</v>
      </c>
      <c r="BA430" t="s">
        <v>74</v>
      </c>
      <c r="BB430">
        <v>139</v>
      </c>
      <c r="BC430">
        <v>151</v>
      </c>
      <c r="BD430" t="s">
        <v>74</v>
      </c>
      <c r="BE430" t="s">
        <v>7309</v>
      </c>
      <c r="BF430" t="str">
        <f>HYPERLINK("http://dx.doi.org/10.1007/s00300-007-0341-8","http://dx.doi.org/10.1007/s00300-007-0341-8")</f>
        <v>http://dx.doi.org/10.1007/s00300-007-0341-8</v>
      </c>
      <c r="BG430" t="s">
        <v>74</v>
      </c>
      <c r="BH430" t="s">
        <v>74</v>
      </c>
      <c r="BI430">
        <v>13</v>
      </c>
      <c r="BJ430" t="s">
        <v>7282</v>
      </c>
      <c r="BK430" t="s">
        <v>97</v>
      </c>
      <c r="BL430" t="s">
        <v>7283</v>
      </c>
      <c r="BM430" t="s">
        <v>7284</v>
      </c>
      <c r="BN430" t="s">
        <v>74</v>
      </c>
      <c r="BO430" t="s">
        <v>74</v>
      </c>
      <c r="BP430" t="s">
        <v>74</v>
      </c>
      <c r="BQ430" t="s">
        <v>74</v>
      </c>
      <c r="BR430" t="s">
        <v>100</v>
      </c>
      <c r="BS430" t="s">
        <v>7310</v>
      </c>
      <c r="BT430" t="str">
        <f>HYPERLINK("https%3A%2F%2Fwww.webofscience.com%2Fwos%2Fwoscc%2Ffull-record%2FWOS:000251231000003","View Full Record in Web of Science")</f>
        <v>View Full Record in Web of Science</v>
      </c>
    </row>
    <row r="431" spans="1:72" x14ac:dyDescent="0.15">
      <c r="A431" t="s">
        <v>72</v>
      </c>
      <c r="B431" t="s">
        <v>7311</v>
      </c>
      <c r="C431" t="s">
        <v>74</v>
      </c>
      <c r="D431" t="s">
        <v>74</v>
      </c>
      <c r="E431" t="s">
        <v>74</v>
      </c>
      <c r="F431" t="s">
        <v>7312</v>
      </c>
      <c r="G431" t="s">
        <v>74</v>
      </c>
      <c r="H431" t="s">
        <v>74</v>
      </c>
      <c r="I431" t="s">
        <v>7313</v>
      </c>
      <c r="J431" t="s">
        <v>7269</v>
      </c>
      <c r="K431" t="s">
        <v>74</v>
      </c>
      <c r="L431" t="s">
        <v>74</v>
      </c>
      <c r="M431" t="s">
        <v>78</v>
      </c>
      <c r="N431" t="s">
        <v>79</v>
      </c>
      <c r="O431" t="s">
        <v>74</v>
      </c>
      <c r="P431" t="s">
        <v>74</v>
      </c>
      <c r="Q431" t="s">
        <v>74</v>
      </c>
      <c r="R431" t="s">
        <v>74</v>
      </c>
      <c r="S431" t="s">
        <v>74</v>
      </c>
      <c r="T431" t="s">
        <v>7314</v>
      </c>
      <c r="U431" t="s">
        <v>7315</v>
      </c>
      <c r="V431" t="s">
        <v>7316</v>
      </c>
      <c r="W431" t="s">
        <v>7317</v>
      </c>
      <c r="X431" t="s">
        <v>7318</v>
      </c>
      <c r="Y431" t="s">
        <v>7319</v>
      </c>
      <c r="Z431" t="s">
        <v>2845</v>
      </c>
      <c r="AA431" t="s">
        <v>7320</v>
      </c>
      <c r="AB431" t="s">
        <v>7321</v>
      </c>
      <c r="AC431" t="s">
        <v>74</v>
      </c>
      <c r="AD431" t="s">
        <v>74</v>
      </c>
      <c r="AE431" t="s">
        <v>74</v>
      </c>
      <c r="AF431" t="s">
        <v>74</v>
      </c>
      <c r="AG431">
        <v>26</v>
      </c>
      <c r="AH431">
        <v>21</v>
      </c>
      <c r="AI431">
        <v>23</v>
      </c>
      <c r="AJ431">
        <v>0</v>
      </c>
      <c r="AK431">
        <v>10</v>
      </c>
      <c r="AL431" t="s">
        <v>1265</v>
      </c>
      <c r="AM431" t="s">
        <v>662</v>
      </c>
      <c r="AN431" t="s">
        <v>1266</v>
      </c>
      <c r="AO431" t="s">
        <v>7277</v>
      </c>
      <c r="AP431" t="s">
        <v>7278</v>
      </c>
      <c r="AQ431" t="s">
        <v>74</v>
      </c>
      <c r="AR431" t="s">
        <v>7279</v>
      </c>
      <c r="AS431" t="s">
        <v>7280</v>
      </c>
      <c r="AT431" t="s">
        <v>1490</v>
      </c>
      <c r="AU431">
        <v>2008</v>
      </c>
      <c r="AV431">
        <v>31</v>
      </c>
      <c r="AW431">
        <v>2</v>
      </c>
      <c r="AX431" t="s">
        <v>74</v>
      </c>
      <c r="AY431" t="s">
        <v>74</v>
      </c>
      <c r="AZ431" t="s">
        <v>74</v>
      </c>
      <c r="BA431" t="s">
        <v>74</v>
      </c>
      <c r="BB431">
        <v>153</v>
      </c>
      <c r="BC431">
        <v>162</v>
      </c>
      <c r="BD431" t="s">
        <v>74</v>
      </c>
      <c r="BE431" t="s">
        <v>7322</v>
      </c>
      <c r="BF431" t="str">
        <f>HYPERLINK("http://dx.doi.org/10.1007/s00300-007-0342-7","http://dx.doi.org/10.1007/s00300-007-0342-7")</f>
        <v>http://dx.doi.org/10.1007/s00300-007-0342-7</v>
      </c>
      <c r="BG431" t="s">
        <v>74</v>
      </c>
      <c r="BH431" t="s">
        <v>74</v>
      </c>
      <c r="BI431">
        <v>10</v>
      </c>
      <c r="BJ431" t="s">
        <v>7282</v>
      </c>
      <c r="BK431" t="s">
        <v>97</v>
      </c>
      <c r="BL431" t="s">
        <v>7283</v>
      </c>
      <c r="BM431" t="s">
        <v>7284</v>
      </c>
      <c r="BN431" t="s">
        <v>74</v>
      </c>
      <c r="BO431" t="s">
        <v>74</v>
      </c>
      <c r="BP431" t="s">
        <v>74</v>
      </c>
      <c r="BQ431" t="s">
        <v>74</v>
      </c>
      <c r="BR431" t="s">
        <v>100</v>
      </c>
      <c r="BS431" t="s">
        <v>7323</v>
      </c>
      <c r="BT431" t="str">
        <f>HYPERLINK("https%3A%2F%2Fwww.webofscience.com%2Fwos%2Fwoscc%2Ffull-record%2FWOS:000251231000004","View Full Record in Web of Science")</f>
        <v>View Full Record in Web of Science</v>
      </c>
    </row>
    <row r="432" spans="1:72" x14ac:dyDescent="0.15">
      <c r="A432" t="s">
        <v>72</v>
      </c>
      <c r="B432" t="s">
        <v>7324</v>
      </c>
      <c r="C432" t="s">
        <v>74</v>
      </c>
      <c r="D432" t="s">
        <v>74</v>
      </c>
      <c r="E432" t="s">
        <v>74</v>
      </c>
      <c r="F432" t="s">
        <v>7325</v>
      </c>
      <c r="G432" t="s">
        <v>74</v>
      </c>
      <c r="H432" t="s">
        <v>74</v>
      </c>
      <c r="I432" t="s">
        <v>7326</v>
      </c>
      <c r="J432" t="s">
        <v>7269</v>
      </c>
      <c r="K432" t="s">
        <v>74</v>
      </c>
      <c r="L432" t="s">
        <v>74</v>
      </c>
      <c r="M432" t="s">
        <v>78</v>
      </c>
      <c r="N432" t="s">
        <v>79</v>
      </c>
      <c r="O432" t="s">
        <v>74</v>
      </c>
      <c r="P432" t="s">
        <v>74</v>
      </c>
      <c r="Q432" t="s">
        <v>74</v>
      </c>
      <c r="R432" t="s">
        <v>74</v>
      </c>
      <c r="S432" t="s">
        <v>74</v>
      </c>
      <c r="T432" t="s">
        <v>7327</v>
      </c>
      <c r="U432" t="s">
        <v>7328</v>
      </c>
      <c r="V432" t="s">
        <v>7329</v>
      </c>
      <c r="W432" t="s">
        <v>7330</v>
      </c>
      <c r="X432" t="s">
        <v>7331</v>
      </c>
      <c r="Y432" t="s">
        <v>7332</v>
      </c>
      <c r="Z432" t="s">
        <v>7333</v>
      </c>
      <c r="AA432" t="s">
        <v>7334</v>
      </c>
      <c r="AB432" t="s">
        <v>7335</v>
      </c>
      <c r="AC432" t="s">
        <v>74</v>
      </c>
      <c r="AD432" t="s">
        <v>74</v>
      </c>
      <c r="AE432" t="s">
        <v>74</v>
      </c>
      <c r="AF432" t="s">
        <v>74</v>
      </c>
      <c r="AG432">
        <v>21</v>
      </c>
      <c r="AH432">
        <v>23</v>
      </c>
      <c r="AI432">
        <v>26</v>
      </c>
      <c r="AJ432">
        <v>13</v>
      </c>
      <c r="AK432">
        <v>143</v>
      </c>
      <c r="AL432" t="s">
        <v>1265</v>
      </c>
      <c r="AM432" t="s">
        <v>662</v>
      </c>
      <c r="AN432" t="s">
        <v>1266</v>
      </c>
      <c r="AO432" t="s">
        <v>7277</v>
      </c>
      <c r="AP432" t="s">
        <v>7278</v>
      </c>
      <c r="AQ432" t="s">
        <v>74</v>
      </c>
      <c r="AR432" t="s">
        <v>7279</v>
      </c>
      <c r="AS432" t="s">
        <v>7280</v>
      </c>
      <c r="AT432" t="s">
        <v>1490</v>
      </c>
      <c r="AU432">
        <v>2008</v>
      </c>
      <c r="AV432">
        <v>31</v>
      </c>
      <c r="AW432">
        <v>2</v>
      </c>
      <c r="AX432" t="s">
        <v>74</v>
      </c>
      <c r="AY432" t="s">
        <v>74</v>
      </c>
      <c r="AZ432" t="s">
        <v>74</v>
      </c>
      <c r="BA432" t="s">
        <v>74</v>
      </c>
      <c r="BB432">
        <v>163</v>
      </c>
      <c r="BC432">
        <v>169</v>
      </c>
      <c r="BD432" t="s">
        <v>74</v>
      </c>
      <c r="BE432" t="s">
        <v>7336</v>
      </c>
      <c r="BF432" t="str">
        <f>HYPERLINK("http://dx.doi.org/10.1007/s00300-007-0343-6","http://dx.doi.org/10.1007/s00300-007-0343-6")</f>
        <v>http://dx.doi.org/10.1007/s00300-007-0343-6</v>
      </c>
      <c r="BG432" t="s">
        <v>74</v>
      </c>
      <c r="BH432" t="s">
        <v>74</v>
      </c>
      <c r="BI432">
        <v>7</v>
      </c>
      <c r="BJ432" t="s">
        <v>7282</v>
      </c>
      <c r="BK432" t="s">
        <v>97</v>
      </c>
      <c r="BL432" t="s">
        <v>7283</v>
      </c>
      <c r="BM432" t="s">
        <v>7284</v>
      </c>
      <c r="BN432" t="s">
        <v>74</v>
      </c>
      <c r="BO432" t="s">
        <v>74</v>
      </c>
      <c r="BP432" t="s">
        <v>74</v>
      </c>
      <c r="BQ432" t="s">
        <v>74</v>
      </c>
      <c r="BR432" t="s">
        <v>100</v>
      </c>
      <c r="BS432" t="s">
        <v>7337</v>
      </c>
      <c r="BT432" t="str">
        <f>HYPERLINK("https%3A%2F%2Fwww.webofscience.com%2Fwos%2Fwoscc%2Ffull-record%2FWOS:000251231000005","View Full Record in Web of Science")</f>
        <v>View Full Record in Web of Science</v>
      </c>
    </row>
    <row r="433" spans="1:72" x14ac:dyDescent="0.15">
      <c r="A433" t="s">
        <v>72</v>
      </c>
      <c r="B433" t="s">
        <v>7338</v>
      </c>
      <c r="C433" t="s">
        <v>74</v>
      </c>
      <c r="D433" t="s">
        <v>74</v>
      </c>
      <c r="E433" t="s">
        <v>74</v>
      </c>
      <c r="F433" t="s">
        <v>7339</v>
      </c>
      <c r="G433" t="s">
        <v>74</v>
      </c>
      <c r="H433" t="s">
        <v>74</v>
      </c>
      <c r="I433" t="s">
        <v>7340</v>
      </c>
      <c r="J433" t="s">
        <v>7269</v>
      </c>
      <c r="K433" t="s">
        <v>74</v>
      </c>
      <c r="L433" t="s">
        <v>74</v>
      </c>
      <c r="M433" t="s">
        <v>78</v>
      </c>
      <c r="N433" t="s">
        <v>79</v>
      </c>
      <c r="O433" t="s">
        <v>74</v>
      </c>
      <c r="P433" t="s">
        <v>74</v>
      </c>
      <c r="Q433" t="s">
        <v>74</v>
      </c>
      <c r="R433" t="s">
        <v>74</v>
      </c>
      <c r="S433" t="s">
        <v>74</v>
      </c>
      <c r="T433" t="s">
        <v>7341</v>
      </c>
      <c r="U433" t="s">
        <v>7342</v>
      </c>
      <c r="V433" t="s">
        <v>7343</v>
      </c>
      <c r="W433" t="s">
        <v>4458</v>
      </c>
      <c r="X433" t="s">
        <v>440</v>
      </c>
      <c r="Y433" t="s">
        <v>7344</v>
      </c>
      <c r="Z433" t="s">
        <v>7345</v>
      </c>
      <c r="AA433" t="s">
        <v>7346</v>
      </c>
      <c r="AB433" t="s">
        <v>7347</v>
      </c>
      <c r="AC433" t="s">
        <v>4792</v>
      </c>
      <c r="AD433" t="s">
        <v>444</v>
      </c>
      <c r="AE433" t="s">
        <v>74</v>
      </c>
      <c r="AF433" t="s">
        <v>74</v>
      </c>
      <c r="AG433">
        <v>65</v>
      </c>
      <c r="AH433">
        <v>59</v>
      </c>
      <c r="AI433">
        <v>68</v>
      </c>
      <c r="AJ433">
        <v>0</v>
      </c>
      <c r="AK433">
        <v>21</v>
      </c>
      <c r="AL433" t="s">
        <v>1265</v>
      </c>
      <c r="AM433" t="s">
        <v>662</v>
      </c>
      <c r="AN433" t="s">
        <v>1298</v>
      </c>
      <c r="AO433" t="s">
        <v>7277</v>
      </c>
      <c r="AP433" t="s">
        <v>7278</v>
      </c>
      <c r="AQ433" t="s">
        <v>74</v>
      </c>
      <c r="AR433" t="s">
        <v>7279</v>
      </c>
      <c r="AS433" t="s">
        <v>7280</v>
      </c>
      <c r="AT433" t="s">
        <v>1490</v>
      </c>
      <c r="AU433">
        <v>2008</v>
      </c>
      <c r="AV433">
        <v>31</v>
      </c>
      <c r="AW433">
        <v>2</v>
      </c>
      <c r="AX433" t="s">
        <v>74</v>
      </c>
      <c r="AY433" t="s">
        <v>74</v>
      </c>
      <c r="AZ433" t="s">
        <v>74</v>
      </c>
      <c r="BA433" t="s">
        <v>74</v>
      </c>
      <c r="BB433">
        <v>171</v>
      </c>
      <c r="BC433">
        <v>180</v>
      </c>
      <c r="BD433" t="s">
        <v>74</v>
      </c>
      <c r="BE433" t="s">
        <v>7348</v>
      </c>
      <c r="BF433" t="str">
        <f>HYPERLINK("http://dx.doi.org/10.1007/s00300-007-0344-5","http://dx.doi.org/10.1007/s00300-007-0344-5")</f>
        <v>http://dx.doi.org/10.1007/s00300-007-0344-5</v>
      </c>
      <c r="BG433" t="s">
        <v>74</v>
      </c>
      <c r="BH433" t="s">
        <v>74</v>
      </c>
      <c r="BI433">
        <v>10</v>
      </c>
      <c r="BJ433" t="s">
        <v>7282</v>
      </c>
      <c r="BK433" t="s">
        <v>97</v>
      </c>
      <c r="BL433" t="s">
        <v>7283</v>
      </c>
      <c r="BM433" t="s">
        <v>7284</v>
      </c>
      <c r="BN433" t="s">
        <v>74</v>
      </c>
      <c r="BO433" t="s">
        <v>250</v>
      </c>
      <c r="BP433" t="s">
        <v>74</v>
      </c>
      <c r="BQ433" t="s">
        <v>74</v>
      </c>
      <c r="BR433" t="s">
        <v>100</v>
      </c>
      <c r="BS433" t="s">
        <v>7349</v>
      </c>
      <c r="BT433" t="str">
        <f>HYPERLINK("https%3A%2F%2Fwww.webofscience.com%2Fwos%2Fwoscc%2Ffull-record%2FWOS:000251231000006","View Full Record in Web of Science")</f>
        <v>View Full Record in Web of Science</v>
      </c>
    </row>
    <row r="434" spans="1:72" x14ac:dyDescent="0.15">
      <c r="A434" t="s">
        <v>72</v>
      </c>
      <c r="B434" t="s">
        <v>7350</v>
      </c>
      <c r="C434" t="s">
        <v>74</v>
      </c>
      <c r="D434" t="s">
        <v>74</v>
      </c>
      <c r="E434" t="s">
        <v>74</v>
      </c>
      <c r="F434" t="s">
        <v>7351</v>
      </c>
      <c r="G434" t="s">
        <v>74</v>
      </c>
      <c r="H434" t="s">
        <v>74</v>
      </c>
      <c r="I434" t="s">
        <v>7352</v>
      </c>
      <c r="J434" t="s">
        <v>7269</v>
      </c>
      <c r="K434" t="s">
        <v>74</v>
      </c>
      <c r="L434" t="s">
        <v>74</v>
      </c>
      <c r="M434" t="s">
        <v>78</v>
      </c>
      <c r="N434" t="s">
        <v>79</v>
      </c>
      <c r="O434" t="s">
        <v>74</v>
      </c>
      <c r="P434" t="s">
        <v>74</v>
      </c>
      <c r="Q434" t="s">
        <v>74</v>
      </c>
      <c r="R434" t="s">
        <v>74</v>
      </c>
      <c r="S434" t="s">
        <v>74</v>
      </c>
      <c r="T434" t="s">
        <v>7353</v>
      </c>
      <c r="U434" t="s">
        <v>7354</v>
      </c>
      <c r="V434" t="s">
        <v>7355</v>
      </c>
      <c r="W434" t="s">
        <v>7356</v>
      </c>
      <c r="X434" t="s">
        <v>440</v>
      </c>
      <c r="Y434" t="s">
        <v>7357</v>
      </c>
      <c r="Z434" t="s">
        <v>6536</v>
      </c>
      <c r="AA434" t="s">
        <v>7358</v>
      </c>
      <c r="AB434" t="s">
        <v>7359</v>
      </c>
      <c r="AC434" t="s">
        <v>7360</v>
      </c>
      <c r="AD434" t="s">
        <v>242</v>
      </c>
      <c r="AE434" t="s">
        <v>74</v>
      </c>
      <c r="AF434" t="s">
        <v>74</v>
      </c>
      <c r="AG434">
        <v>48</v>
      </c>
      <c r="AH434">
        <v>39</v>
      </c>
      <c r="AI434">
        <v>42</v>
      </c>
      <c r="AJ434">
        <v>0</v>
      </c>
      <c r="AK434">
        <v>15</v>
      </c>
      <c r="AL434" t="s">
        <v>1265</v>
      </c>
      <c r="AM434" t="s">
        <v>662</v>
      </c>
      <c r="AN434" t="s">
        <v>1266</v>
      </c>
      <c r="AO434" t="s">
        <v>7277</v>
      </c>
      <c r="AP434" t="s">
        <v>7278</v>
      </c>
      <c r="AQ434" t="s">
        <v>74</v>
      </c>
      <c r="AR434" t="s">
        <v>7279</v>
      </c>
      <c r="AS434" t="s">
        <v>7280</v>
      </c>
      <c r="AT434" t="s">
        <v>1490</v>
      </c>
      <c r="AU434">
        <v>2008</v>
      </c>
      <c r="AV434">
        <v>31</v>
      </c>
      <c r="AW434">
        <v>2</v>
      </c>
      <c r="AX434" t="s">
        <v>74</v>
      </c>
      <c r="AY434" t="s">
        <v>74</v>
      </c>
      <c r="AZ434" t="s">
        <v>74</v>
      </c>
      <c r="BA434" t="s">
        <v>74</v>
      </c>
      <c r="BB434">
        <v>189</v>
      </c>
      <c r="BC434">
        <v>198</v>
      </c>
      <c r="BD434" t="s">
        <v>74</v>
      </c>
      <c r="BE434" t="s">
        <v>7361</v>
      </c>
      <c r="BF434" t="str">
        <f>HYPERLINK("http://dx.doi.org/10.1007/s00300-007-0346-3","http://dx.doi.org/10.1007/s00300-007-0346-3")</f>
        <v>http://dx.doi.org/10.1007/s00300-007-0346-3</v>
      </c>
      <c r="BG434" t="s">
        <v>74</v>
      </c>
      <c r="BH434" t="s">
        <v>74</v>
      </c>
      <c r="BI434">
        <v>10</v>
      </c>
      <c r="BJ434" t="s">
        <v>7282</v>
      </c>
      <c r="BK434" t="s">
        <v>97</v>
      </c>
      <c r="BL434" t="s">
        <v>7283</v>
      </c>
      <c r="BM434" t="s">
        <v>7284</v>
      </c>
      <c r="BN434" t="s">
        <v>74</v>
      </c>
      <c r="BO434" t="s">
        <v>74</v>
      </c>
      <c r="BP434" t="s">
        <v>74</v>
      </c>
      <c r="BQ434" t="s">
        <v>74</v>
      </c>
      <c r="BR434" t="s">
        <v>100</v>
      </c>
      <c r="BS434" t="s">
        <v>7362</v>
      </c>
      <c r="BT434" t="str">
        <f>HYPERLINK("https%3A%2F%2Fwww.webofscience.com%2Fwos%2Fwoscc%2Ffull-record%2FWOS:000251231000008","View Full Record in Web of Science")</f>
        <v>View Full Record in Web of Science</v>
      </c>
    </row>
    <row r="435" spans="1:72" x14ac:dyDescent="0.15">
      <c r="A435" t="s">
        <v>72</v>
      </c>
      <c r="B435" t="s">
        <v>7363</v>
      </c>
      <c r="C435" t="s">
        <v>74</v>
      </c>
      <c r="D435" t="s">
        <v>74</v>
      </c>
      <c r="E435" t="s">
        <v>74</v>
      </c>
      <c r="F435" t="s">
        <v>7364</v>
      </c>
      <c r="G435" t="s">
        <v>74</v>
      </c>
      <c r="H435" t="s">
        <v>74</v>
      </c>
      <c r="I435" t="s">
        <v>7365</v>
      </c>
      <c r="J435" t="s">
        <v>7269</v>
      </c>
      <c r="K435" t="s">
        <v>74</v>
      </c>
      <c r="L435" t="s">
        <v>74</v>
      </c>
      <c r="M435" t="s">
        <v>78</v>
      </c>
      <c r="N435" t="s">
        <v>79</v>
      </c>
      <c r="O435" t="s">
        <v>74</v>
      </c>
      <c r="P435" t="s">
        <v>74</v>
      </c>
      <c r="Q435" t="s">
        <v>74</v>
      </c>
      <c r="R435" t="s">
        <v>74</v>
      </c>
      <c r="S435" t="s">
        <v>74</v>
      </c>
      <c r="T435" t="s">
        <v>74</v>
      </c>
      <c r="U435" t="s">
        <v>7366</v>
      </c>
      <c r="V435" t="s">
        <v>7367</v>
      </c>
      <c r="W435" t="s">
        <v>7368</v>
      </c>
      <c r="X435" t="s">
        <v>7369</v>
      </c>
      <c r="Y435" t="s">
        <v>7370</v>
      </c>
      <c r="Z435" t="s">
        <v>7371</v>
      </c>
      <c r="AA435" t="s">
        <v>74</v>
      </c>
      <c r="AB435" t="s">
        <v>74</v>
      </c>
      <c r="AC435" t="s">
        <v>74</v>
      </c>
      <c r="AD435" t="s">
        <v>74</v>
      </c>
      <c r="AE435" t="s">
        <v>74</v>
      </c>
      <c r="AF435" t="s">
        <v>74</v>
      </c>
      <c r="AG435">
        <v>39</v>
      </c>
      <c r="AH435">
        <v>35</v>
      </c>
      <c r="AI435">
        <v>43</v>
      </c>
      <c r="AJ435">
        <v>1</v>
      </c>
      <c r="AK435">
        <v>8</v>
      </c>
      <c r="AL435" t="s">
        <v>1265</v>
      </c>
      <c r="AM435" t="s">
        <v>662</v>
      </c>
      <c r="AN435" t="s">
        <v>1298</v>
      </c>
      <c r="AO435" t="s">
        <v>7277</v>
      </c>
      <c r="AP435" t="s">
        <v>7278</v>
      </c>
      <c r="AQ435" t="s">
        <v>74</v>
      </c>
      <c r="AR435" t="s">
        <v>7279</v>
      </c>
      <c r="AS435" t="s">
        <v>7280</v>
      </c>
      <c r="AT435" t="s">
        <v>1490</v>
      </c>
      <c r="AU435">
        <v>2008</v>
      </c>
      <c r="AV435">
        <v>31</v>
      </c>
      <c r="AW435">
        <v>2</v>
      </c>
      <c r="AX435" t="s">
        <v>74</v>
      </c>
      <c r="AY435" t="s">
        <v>74</v>
      </c>
      <c r="AZ435" t="s">
        <v>74</v>
      </c>
      <c r="BA435" t="s">
        <v>74</v>
      </c>
      <c r="BB435">
        <v>199</v>
      </c>
      <c r="BC435">
        <v>208</v>
      </c>
      <c r="BD435" t="s">
        <v>74</v>
      </c>
      <c r="BE435" t="s">
        <v>7372</v>
      </c>
      <c r="BF435" t="str">
        <f>HYPERLINK("http://dx.doi.org/10.1007/s00300-007-0347-2","http://dx.doi.org/10.1007/s00300-007-0347-2")</f>
        <v>http://dx.doi.org/10.1007/s00300-007-0347-2</v>
      </c>
      <c r="BG435" t="s">
        <v>74</v>
      </c>
      <c r="BH435" t="s">
        <v>74</v>
      </c>
      <c r="BI435">
        <v>10</v>
      </c>
      <c r="BJ435" t="s">
        <v>7282</v>
      </c>
      <c r="BK435" t="s">
        <v>97</v>
      </c>
      <c r="BL435" t="s">
        <v>7283</v>
      </c>
      <c r="BM435" t="s">
        <v>7284</v>
      </c>
      <c r="BN435" t="s">
        <v>74</v>
      </c>
      <c r="BO435" t="s">
        <v>74</v>
      </c>
      <c r="BP435" t="s">
        <v>74</v>
      </c>
      <c r="BQ435" t="s">
        <v>74</v>
      </c>
      <c r="BR435" t="s">
        <v>100</v>
      </c>
      <c r="BS435" t="s">
        <v>7373</v>
      </c>
      <c r="BT435" t="str">
        <f>HYPERLINK("https%3A%2F%2Fwww.webofscience.com%2Fwos%2Fwoscc%2Ffull-record%2FWOS:000251231000009","View Full Record in Web of Science")</f>
        <v>View Full Record in Web of Science</v>
      </c>
    </row>
    <row r="436" spans="1:72" x14ac:dyDescent="0.15">
      <c r="A436" t="s">
        <v>72</v>
      </c>
      <c r="B436" t="s">
        <v>7374</v>
      </c>
      <c r="C436" t="s">
        <v>74</v>
      </c>
      <c r="D436" t="s">
        <v>74</v>
      </c>
      <c r="E436" t="s">
        <v>74</v>
      </c>
      <c r="F436" t="s">
        <v>7375</v>
      </c>
      <c r="G436" t="s">
        <v>74</v>
      </c>
      <c r="H436" t="s">
        <v>74</v>
      </c>
      <c r="I436" t="s">
        <v>7376</v>
      </c>
      <c r="J436" t="s">
        <v>7269</v>
      </c>
      <c r="K436" t="s">
        <v>74</v>
      </c>
      <c r="L436" t="s">
        <v>74</v>
      </c>
      <c r="M436" t="s">
        <v>78</v>
      </c>
      <c r="N436" t="s">
        <v>79</v>
      </c>
      <c r="O436" t="s">
        <v>74</v>
      </c>
      <c r="P436" t="s">
        <v>74</v>
      </c>
      <c r="Q436" t="s">
        <v>74</v>
      </c>
      <c r="R436" t="s">
        <v>74</v>
      </c>
      <c r="S436" t="s">
        <v>74</v>
      </c>
      <c r="T436" t="s">
        <v>7377</v>
      </c>
      <c r="U436" t="s">
        <v>74</v>
      </c>
      <c r="V436" t="s">
        <v>7378</v>
      </c>
      <c r="W436" t="s">
        <v>7379</v>
      </c>
      <c r="X436" t="s">
        <v>7380</v>
      </c>
      <c r="Y436" t="s">
        <v>7381</v>
      </c>
      <c r="Z436" t="s">
        <v>7382</v>
      </c>
      <c r="AA436" t="s">
        <v>7383</v>
      </c>
      <c r="AB436" t="s">
        <v>7384</v>
      </c>
      <c r="AC436" t="s">
        <v>74</v>
      </c>
      <c r="AD436" t="s">
        <v>74</v>
      </c>
      <c r="AE436" t="s">
        <v>74</v>
      </c>
      <c r="AF436" t="s">
        <v>74</v>
      </c>
      <c r="AG436">
        <v>10</v>
      </c>
      <c r="AH436">
        <v>4</v>
      </c>
      <c r="AI436">
        <v>5</v>
      </c>
      <c r="AJ436">
        <v>0</v>
      </c>
      <c r="AK436">
        <v>1</v>
      </c>
      <c r="AL436" t="s">
        <v>1265</v>
      </c>
      <c r="AM436" t="s">
        <v>662</v>
      </c>
      <c r="AN436" t="s">
        <v>1298</v>
      </c>
      <c r="AO436" t="s">
        <v>7277</v>
      </c>
      <c r="AP436" t="s">
        <v>7278</v>
      </c>
      <c r="AQ436" t="s">
        <v>74</v>
      </c>
      <c r="AR436" t="s">
        <v>7279</v>
      </c>
      <c r="AS436" t="s">
        <v>7280</v>
      </c>
      <c r="AT436" t="s">
        <v>1490</v>
      </c>
      <c r="AU436">
        <v>2008</v>
      </c>
      <c r="AV436">
        <v>31</v>
      </c>
      <c r="AW436">
        <v>2</v>
      </c>
      <c r="AX436" t="s">
        <v>74</v>
      </c>
      <c r="AY436" t="s">
        <v>74</v>
      </c>
      <c r="AZ436" t="s">
        <v>74</v>
      </c>
      <c r="BA436" t="s">
        <v>74</v>
      </c>
      <c r="BB436">
        <v>209</v>
      </c>
      <c r="BC436">
        <v>213</v>
      </c>
      <c r="BD436" t="s">
        <v>74</v>
      </c>
      <c r="BE436" t="s">
        <v>7385</v>
      </c>
      <c r="BF436" t="str">
        <f>HYPERLINK("http://dx.doi.org/10.1007/s00300-007-0348-1","http://dx.doi.org/10.1007/s00300-007-0348-1")</f>
        <v>http://dx.doi.org/10.1007/s00300-007-0348-1</v>
      </c>
      <c r="BG436" t="s">
        <v>74</v>
      </c>
      <c r="BH436" t="s">
        <v>74</v>
      </c>
      <c r="BI436">
        <v>5</v>
      </c>
      <c r="BJ436" t="s">
        <v>7282</v>
      </c>
      <c r="BK436" t="s">
        <v>97</v>
      </c>
      <c r="BL436" t="s">
        <v>7283</v>
      </c>
      <c r="BM436" t="s">
        <v>7284</v>
      </c>
      <c r="BN436" t="s">
        <v>74</v>
      </c>
      <c r="BO436" t="s">
        <v>74</v>
      </c>
      <c r="BP436" t="s">
        <v>74</v>
      </c>
      <c r="BQ436" t="s">
        <v>74</v>
      </c>
      <c r="BR436" t="s">
        <v>100</v>
      </c>
      <c r="BS436" t="s">
        <v>7386</v>
      </c>
      <c r="BT436" t="str">
        <f>HYPERLINK("https%3A%2F%2Fwww.webofscience.com%2Fwos%2Fwoscc%2Ffull-record%2FWOS:000251231000010","View Full Record in Web of Science")</f>
        <v>View Full Record in Web of Science</v>
      </c>
    </row>
    <row r="437" spans="1:72" x14ac:dyDescent="0.15">
      <c r="A437" t="s">
        <v>72</v>
      </c>
      <c r="B437" t="s">
        <v>7387</v>
      </c>
      <c r="C437" t="s">
        <v>74</v>
      </c>
      <c r="D437" t="s">
        <v>74</v>
      </c>
      <c r="E437" t="s">
        <v>74</v>
      </c>
      <c r="F437" t="s">
        <v>7388</v>
      </c>
      <c r="G437" t="s">
        <v>74</v>
      </c>
      <c r="H437" t="s">
        <v>74</v>
      </c>
      <c r="I437" t="s">
        <v>7389</v>
      </c>
      <c r="J437" t="s">
        <v>7269</v>
      </c>
      <c r="K437" t="s">
        <v>74</v>
      </c>
      <c r="L437" t="s">
        <v>74</v>
      </c>
      <c r="M437" t="s">
        <v>78</v>
      </c>
      <c r="N437" t="s">
        <v>79</v>
      </c>
      <c r="O437" t="s">
        <v>74</v>
      </c>
      <c r="P437" t="s">
        <v>74</v>
      </c>
      <c r="Q437" t="s">
        <v>74</v>
      </c>
      <c r="R437" t="s">
        <v>74</v>
      </c>
      <c r="S437" t="s">
        <v>74</v>
      </c>
      <c r="T437" t="s">
        <v>74</v>
      </c>
      <c r="U437" t="s">
        <v>7390</v>
      </c>
      <c r="V437" t="s">
        <v>7391</v>
      </c>
      <c r="W437" t="s">
        <v>7392</v>
      </c>
      <c r="X437" t="s">
        <v>7393</v>
      </c>
      <c r="Y437" t="s">
        <v>7394</v>
      </c>
      <c r="Z437" t="s">
        <v>7395</v>
      </c>
      <c r="AA437" t="s">
        <v>7396</v>
      </c>
      <c r="AB437" t="s">
        <v>7397</v>
      </c>
      <c r="AC437" t="s">
        <v>74</v>
      </c>
      <c r="AD437" t="s">
        <v>74</v>
      </c>
      <c r="AE437" t="s">
        <v>74</v>
      </c>
      <c r="AF437" t="s">
        <v>74</v>
      </c>
      <c r="AG437">
        <v>47</v>
      </c>
      <c r="AH437">
        <v>23</v>
      </c>
      <c r="AI437">
        <v>25</v>
      </c>
      <c r="AJ437">
        <v>0</v>
      </c>
      <c r="AK437">
        <v>36</v>
      </c>
      <c r="AL437" t="s">
        <v>1265</v>
      </c>
      <c r="AM437" t="s">
        <v>662</v>
      </c>
      <c r="AN437" t="s">
        <v>1266</v>
      </c>
      <c r="AO437" t="s">
        <v>7277</v>
      </c>
      <c r="AP437" t="s">
        <v>7278</v>
      </c>
      <c r="AQ437" t="s">
        <v>74</v>
      </c>
      <c r="AR437" t="s">
        <v>7279</v>
      </c>
      <c r="AS437" t="s">
        <v>7280</v>
      </c>
      <c r="AT437" t="s">
        <v>1490</v>
      </c>
      <c r="AU437">
        <v>2008</v>
      </c>
      <c r="AV437">
        <v>31</v>
      </c>
      <c r="AW437">
        <v>2</v>
      </c>
      <c r="AX437" t="s">
        <v>74</v>
      </c>
      <c r="AY437" t="s">
        <v>74</v>
      </c>
      <c r="AZ437" t="s">
        <v>74</v>
      </c>
      <c r="BA437" t="s">
        <v>74</v>
      </c>
      <c r="BB437">
        <v>215</v>
      </c>
      <c r="BC437">
        <v>220</v>
      </c>
      <c r="BD437" t="s">
        <v>74</v>
      </c>
      <c r="BE437" t="s">
        <v>7398</v>
      </c>
      <c r="BF437" t="str">
        <f>HYPERLINK("http://dx.doi.org/10.1007/s00300-007-0349-0","http://dx.doi.org/10.1007/s00300-007-0349-0")</f>
        <v>http://dx.doi.org/10.1007/s00300-007-0349-0</v>
      </c>
      <c r="BG437" t="s">
        <v>74</v>
      </c>
      <c r="BH437" t="s">
        <v>74</v>
      </c>
      <c r="BI437">
        <v>6</v>
      </c>
      <c r="BJ437" t="s">
        <v>7282</v>
      </c>
      <c r="BK437" t="s">
        <v>97</v>
      </c>
      <c r="BL437" t="s">
        <v>7283</v>
      </c>
      <c r="BM437" t="s">
        <v>7284</v>
      </c>
      <c r="BN437" t="s">
        <v>74</v>
      </c>
      <c r="BO437" t="s">
        <v>74</v>
      </c>
      <c r="BP437" t="s">
        <v>74</v>
      </c>
      <c r="BQ437" t="s">
        <v>74</v>
      </c>
      <c r="BR437" t="s">
        <v>100</v>
      </c>
      <c r="BS437" t="s">
        <v>7399</v>
      </c>
      <c r="BT437" t="str">
        <f>HYPERLINK("https%3A%2F%2Fwww.webofscience.com%2Fwos%2Fwoscc%2Ffull-record%2FWOS:000251231000011","View Full Record in Web of Science")</f>
        <v>View Full Record in Web of Science</v>
      </c>
    </row>
    <row r="438" spans="1:72" x14ac:dyDescent="0.15">
      <c r="A438" t="s">
        <v>72</v>
      </c>
      <c r="B438" t="s">
        <v>7400</v>
      </c>
      <c r="C438" t="s">
        <v>74</v>
      </c>
      <c r="D438" t="s">
        <v>74</v>
      </c>
      <c r="E438" t="s">
        <v>74</v>
      </c>
      <c r="F438" t="s">
        <v>7401</v>
      </c>
      <c r="G438" t="s">
        <v>74</v>
      </c>
      <c r="H438" t="s">
        <v>74</v>
      </c>
      <c r="I438" t="s">
        <v>7402</v>
      </c>
      <c r="J438" t="s">
        <v>7269</v>
      </c>
      <c r="K438" t="s">
        <v>74</v>
      </c>
      <c r="L438" t="s">
        <v>74</v>
      </c>
      <c r="M438" t="s">
        <v>78</v>
      </c>
      <c r="N438" t="s">
        <v>79</v>
      </c>
      <c r="O438" t="s">
        <v>74</v>
      </c>
      <c r="P438" t="s">
        <v>74</v>
      </c>
      <c r="Q438" t="s">
        <v>74</v>
      </c>
      <c r="R438" t="s">
        <v>74</v>
      </c>
      <c r="S438" t="s">
        <v>74</v>
      </c>
      <c r="T438" t="s">
        <v>74</v>
      </c>
      <c r="U438" t="s">
        <v>7403</v>
      </c>
      <c r="V438" t="s">
        <v>7404</v>
      </c>
      <c r="W438" t="s">
        <v>7405</v>
      </c>
      <c r="X438" t="s">
        <v>7406</v>
      </c>
      <c r="Y438" t="s">
        <v>7407</v>
      </c>
      <c r="Z438" t="s">
        <v>7408</v>
      </c>
      <c r="AA438" t="s">
        <v>74</v>
      </c>
      <c r="AB438" t="s">
        <v>74</v>
      </c>
      <c r="AC438" t="s">
        <v>74</v>
      </c>
      <c r="AD438" t="s">
        <v>74</v>
      </c>
      <c r="AE438" t="s">
        <v>74</v>
      </c>
      <c r="AF438" t="s">
        <v>74</v>
      </c>
      <c r="AG438">
        <v>43</v>
      </c>
      <c r="AH438">
        <v>15</v>
      </c>
      <c r="AI438">
        <v>17</v>
      </c>
      <c r="AJ438">
        <v>3</v>
      </c>
      <c r="AK438">
        <v>10</v>
      </c>
      <c r="AL438" t="s">
        <v>1265</v>
      </c>
      <c r="AM438" t="s">
        <v>662</v>
      </c>
      <c r="AN438" t="s">
        <v>7409</v>
      </c>
      <c r="AO438" t="s">
        <v>7277</v>
      </c>
      <c r="AP438" t="s">
        <v>74</v>
      </c>
      <c r="AQ438" t="s">
        <v>74</v>
      </c>
      <c r="AR438" t="s">
        <v>7279</v>
      </c>
      <c r="AS438" t="s">
        <v>7280</v>
      </c>
      <c r="AT438" t="s">
        <v>1490</v>
      </c>
      <c r="AU438">
        <v>2008</v>
      </c>
      <c r="AV438">
        <v>31</v>
      </c>
      <c r="AW438">
        <v>2</v>
      </c>
      <c r="AX438" t="s">
        <v>74</v>
      </c>
      <c r="AY438" t="s">
        <v>74</v>
      </c>
      <c r="AZ438" t="s">
        <v>74</v>
      </c>
      <c r="BA438" t="s">
        <v>74</v>
      </c>
      <c r="BB438">
        <v>221</v>
      </c>
      <c r="BC438">
        <v>228</v>
      </c>
      <c r="BD438" t="s">
        <v>74</v>
      </c>
      <c r="BE438" t="s">
        <v>7410</v>
      </c>
      <c r="BF438" t="str">
        <f>HYPERLINK("http://dx.doi.org/10.1007/s00300-007-0351-6","http://dx.doi.org/10.1007/s00300-007-0351-6")</f>
        <v>http://dx.doi.org/10.1007/s00300-007-0351-6</v>
      </c>
      <c r="BG438" t="s">
        <v>74</v>
      </c>
      <c r="BH438" t="s">
        <v>74</v>
      </c>
      <c r="BI438">
        <v>8</v>
      </c>
      <c r="BJ438" t="s">
        <v>7282</v>
      </c>
      <c r="BK438" t="s">
        <v>97</v>
      </c>
      <c r="BL438" t="s">
        <v>7283</v>
      </c>
      <c r="BM438" t="s">
        <v>7284</v>
      </c>
      <c r="BN438" t="s">
        <v>74</v>
      </c>
      <c r="BO438" t="s">
        <v>74</v>
      </c>
      <c r="BP438" t="s">
        <v>74</v>
      </c>
      <c r="BQ438" t="s">
        <v>74</v>
      </c>
      <c r="BR438" t="s">
        <v>100</v>
      </c>
      <c r="BS438" t="s">
        <v>7411</v>
      </c>
      <c r="BT438" t="str">
        <f>HYPERLINK("https%3A%2F%2Fwww.webofscience.com%2Fwos%2Fwoscc%2Ffull-record%2FWOS:000251231000012","View Full Record in Web of Science")</f>
        <v>View Full Record in Web of Science</v>
      </c>
    </row>
    <row r="439" spans="1:72" x14ac:dyDescent="0.15">
      <c r="A439" t="s">
        <v>72</v>
      </c>
      <c r="B439" t="s">
        <v>7412</v>
      </c>
      <c r="C439" t="s">
        <v>74</v>
      </c>
      <c r="D439" t="s">
        <v>74</v>
      </c>
      <c r="E439" t="s">
        <v>74</v>
      </c>
      <c r="F439" t="s">
        <v>7413</v>
      </c>
      <c r="G439" t="s">
        <v>74</v>
      </c>
      <c r="H439" t="s">
        <v>74</v>
      </c>
      <c r="I439" t="s">
        <v>7414</v>
      </c>
      <c r="J439" t="s">
        <v>7269</v>
      </c>
      <c r="K439" t="s">
        <v>74</v>
      </c>
      <c r="L439" t="s">
        <v>74</v>
      </c>
      <c r="M439" t="s">
        <v>78</v>
      </c>
      <c r="N439" t="s">
        <v>79</v>
      </c>
      <c r="O439" t="s">
        <v>74</v>
      </c>
      <c r="P439" t="s">
        <v>74</v>
      </c>
      <c r="Q439" t="s">
        <v>74</v>
      </c>
      <c r="R439" t="s">
        <v>74</v>
      </c>
      <c r="S439" t="s">
        <v>74</v>
      </c>
      <c r="T439" t="s">
        <v>7415</v>
      </c>
      <c r="U439" t="s">
        <v>7416</v>
      </c>
      <c r="V439" t="s">
        <v>7417</v>
      </c>
      <c r="W439" t="s">
        <v>7418</v>
      </c>
      <c r="X439" t="s">
        <v>7419</v>
      </c>
      <c r="Y439" t="s">
        <v>7420</v>
      </c>
      <c r="Z439" t="s">
        <v>7421</v>
      </c>
      <c r="AA439" t="s">
        <v>7422</v>
      </c>
      <c r="AB439" t="s">
        <v>7423</v>
      </c>
      <c r="AC439" t="s">
        <v>74</v>
      </c>
      <c r="AD439" t="s">
        <v>74</v>
      </c>
      <c r="AE439" t="s">
        <v>74</v>
      </c>
      <c r="AF439" t="s">
        <v>74</v>
      </c>
      <c r="AG439">
        <v>60</v>
      </c>
      <c r="AH439">
        <v>46</v>
      </c>
      <c r="AI439">
        <v>49</v>
      </c>
      <c r="AJ439">
        <v>0</v>
      </c>
      <c r="AK439">
        <v>38</v>
      </c>
      <c r="AL439" t="s">
        <v>1265</v>
      </c>
      <c r="AM439" t="s">
        <v>662</v>
      </c>
      <c r="AN439" t="s">
        <v>1266</v>
      </c>
      <c r="AO439" t="s">
        <v>7277</v>
      </c>
      <c r="AP439" t="s">
        <v>7278</v>
      </c>
      <c r="AQ439" t="s">
        <v>74</v>
      </c>
      <c r="AR439" t="s">
        <v>7279</v>
      </c>
      <c r="AS439" t="s">
        <v>7280</v>
      </c>
      <c r="AT439" t="s">
        <v>1490</v>
      </c>
      <c r="AU439">
        <v>2008</v>
      </c>
      <c r="AV439">
        <v>31</v>
      </c>
      <c r="AW439">
        <v>2</v>
      </c>
      <c r="AX439" t="s">
        <v>74</v>
      </c>
      <c r="AY439" t="s">
        <v>74</v>
      </c>
      <c r="AZ439" t="s">
        <v>74</v>
      </c>
      <c r="BA439" t="s">
        <v>74</v>
      </c>
      <c r="BB439">
        <v>229</v>
      </c>
      <c r="BC439">
        <v>243</v>
      </c>
      <c r="BD439" t="s">
        <v>74</v>
      </c>
      <c r="BE439" t="s">
        <v>7424</v>
      </c>
      <c r="BF439" t="str">
        <f>HYPERLINK("http://dx.doi.org/10.1007/s00300-007-0352-5","http://dx.doi.org/10.1007/s00300-007-0352-5")</f>
        <v>http://dx.doi.org/10.1007/s00300-007-0352-5</v>
      </c>
      <c r="BG439" t="s">
        <v>74</v>
      </c>
      <c r="BH439" t="s">
        <v>74</v>
      </c>
      <c r="BI439">
        <v>15</v>
      </c>
      <c r="BJ439" t="s">
        <v>7282</v>
      </c>
      <c r="BK439" t="s">
        <v>97</v>
      </c>
      <c r="BL439" t="s">
        <v>7283</v>
      </c>
      <c r="BM439" t="s">
        <v>7284</v>
      </c>
      <c r="BN439" t="s">
        <v>74</v>
      </c>
      <c r="BO439" t="s">
        <v>1050</v>
      </c>
      <c r="BP439" t="s">
        <v>74</v>
      </c>
      <c r="BQ439" t="s">
        <v>74</v>
      </c>
      <c r="BR439" t="s">
        <v>100</v>
      </c>
      <c r="BS439" t="s">
        <v>7425</v>
      </c>
      <c r="BT439" t="str">
        <f>HYPERLINK("https%3A%2F%2Fwww.webofscience.com%2Fwos%2Fwoscc%2Ffull-record%2FWOS:000251231000013","View Full Record in Web of Science")</f>
        <v>View Full Record in Web of Science</v>
      </c>
    </row>
    <row r="440" spans="1:72" x14ac:dyDescent="0.15">
      <c r="A440" t="s">
        <v>72</v>
      </c>
      <c r="B440" t="s">
        <v>7426</v>
      </c>
      <c r="C440" t="s">
        <v>74</v>
      </c>
      <c r="D440" t="s">
        <v>74</v>
      </c>
      <c r="E440" t="s">
        <v>74</v>
      </c>
      <c r="F440" t="s">
        <v>7427</v>
      </c>
      <c r="G440" t="s">
        <v>74</v>
      </c>
      <c r="H440" t="s">
        <v>74</v>
      </c>
      <c r="I440" t="s">
        <v>7428</v>
      </c>
      <c r="J440" t="s">
        <v>7269</v>
      </c>
      <c r="K440" t="s">
        <v>74</v>
      </c>
      <c r="L440" t="s">
        <v>74</v>
      </c>
      <c r="M440" t="s">
        <v>78</v>
      </c>
      <c r="N440" t="s">
        <v>79</v>
      </c>
      <c r="O440" t="s">
        <v>74</v>
      </c>
      <c r="P440" t="s">
        <v>74</v>
      </c>
      <c r="Q440" t="s">
        <v>74</v>
      </c>
      <c r="R440" t="s">
        <v>74</v>
      </c>
      <c r="S440" t="s">
        <v>74</v>
      </c>
      <c r="T440" t="s">
        <v>7429</v>
      </c>
      <c r="U440" t="s">
        <v>7430</v>
      </c>
      <c r="V440" t="s">
        <v>7431</v>
      </c>
      <c r="W440" t="s">
        <v>7432</v>
      </c>
      <c r="X440" t="s">
        <v>7433</v>
      </c>
      <c r="Y440" t="s">
        <v>7434</v>
      </c>
      <c r="Z440" t="s">
        <v>7435</v>
      </c>
      <c r="AA440" t="s">
        <v>74</v>
      </c>
      <c r="AB440" t="s">
        <v>7436</v>
      </c>
      <c r="AC440" t="s">
        <v>74</v>
      </c>
      <c r="AD440" t="s">
        <v>74</v>
      </c>
      <c r="AE440" t="s">
        <v>74</v>
      </c>
      <c r="AF440" t="s">
        <v>74</v>
      </c>
      <c r="AG440">
        <v>15</v>
      </c>
      <c r="AH440">
        <v>16</v>
      </c>
      <c r="AI440">
        <v>18</v>
      </c>
      <c r="AJ440">
        <v>0</v>
      </c>
      <c r="AK440">
        <v>16</v>
      </c>
      <c r="AL440" t="s">
        <v>1265</v>
      </c>
      <c r="AM440" t="s">
        <v>662</v>
      </c>
      <c r="AN440" t="s">
        <v>7409</v>
      </c>
      <c r="AO440" t="s">
        <v>7277</v>
      </c>
      <c r="AP440" t="s">
        <v>74</v>
      </c>
      <c r="AQ440" t="s">
        <v>74</v>
      </c>
      <c r="AR440" t="s">
        <v>7279</v>
      </c>
      <c r="AS440" t="s">
        <v>7280</v>
      </c>
      <c r="AT440" t="s">
        <v>1490</v>
      </c>
      <c r="AU440">
        <v>2008</v>
      </c>
      <c r="AV440">
        <v>31</v>
      </c>
      <c r="AW440">
        <v>2</v>
      </c>
      <c r="AX440" t="s">
        <v>74</v>
      </c>
      <c r="AY440" t="s">
        <v>74</v>
      </c>
      <c r="AZ440" t="s">
        <v>74</v>
      </c>
      <c r="BA440" t="s">
        <v>74</v>
      </c>
      <c r="BB440">
        <v>245</v>
      </c>
      <c r="BC440">
        <v>248</v>
      </c>
      <c r="BD440" t="s">
        <v>74</v>
      </c>
      <c r="BE440" t="s">
        <v>7437</v>
      </c>
      <c r="BF440" t="str">
        <f>HYPERLINK("http://dx.doi.org/10.1007/s00300-007-0360-5","http://dx.doi.org/10.1007/s00300-007-0360-5")</f>
        <v>http://dx.doi.org/10.1007/s00300-007-0360-5</v>
      </c>
      <c r="BG440" t="s">
        <v>74</v>
      </c>
      <c r="BH440" t="s">
        <v>74</v>
      </c>
      <c r="BI440">
        <v>4</v>
      </c>
      <c r="BJ440" t="s">
        <v>7282</v>
      </c>
      <c r="BK440" t="s">
        <v>97</v>
      </c>
      <c r="BL440" t="s">
        <v>7283</v>
      </c>
      <c r="BM440" t="s">
        <v>7284</v>
      </c>
      <c r="BN440" t="s">
        <v>74</v>
      </c>
      <c r="BO440" t="s">
        <v>74</v>
      </c>
      <c r="BP440" t="s">
        <v>74</v>
      </c>
      <c r="BQ440" t="s">
        <v>74</v>
      </c>
      <c r="BR440" t="s">
        <v>100</v>
      </c>
      <c r="BS440" t="s">
        <v>7438</v>
      </c>
      <c r="BT440" t="str">
        <f>HYPERLINK("https%3A%2F%2Fwww.webofscience.com%2Fwos%2Fwoscc%2Ffull-record%2FWOS:000251231000014","View Full Record in Web of Science")</f>
        <v>View Full Record in Web of Science</v>
      </c>
    </row>
    <row r="441" spans="1:72" x14ac:dyDescent="0.15">
      <c r="A441" t="s">
        <v>72</v>
      </c>
      <c r="B441" t="s">
        <v>7439</v>
      </c>
      <c r="C441" t="s">
        <v>74</v>
      </c>
      <c r="D441" t="s">
        <v>74</v>
      </c>
      <c r="E441" t="s">
        <v>74</v>
      </c>
      <c r="F441" t="s">
        <v>7440</v>
      </c>
      <c r="G441" t="s">
        <v>74</v>
      </c>
      <c r="H441" t="s">
        <v>74</v>
      </c>
      <c r="I441" t="s">
        <v>7441</v>
      </c>
      <c r="J441" t="s">
        <v>7269</v>
      </c>
      <c r="K441" t="s">
        <v>74</v>
      </c>
      <c r="L441" t="s">
        <v>74</v>
      </c>
      <c r="M441" t="s">
        <v>78</v>
      </c>
      <c r="N441" t="s">
        <v>79</v>
      </c>
      <c r="O441" t="s">
        <v>74</v>
      </c>
      <c r="P441" t="s">
        <v>74</v>
      </c>
      <c r="Q441" t="s">
        <v>74</v>
      </c>
      <c r="R441" t="s">
        <v>74</v>
      </c>
      <c r="S441" t="s">
        <v>74</v>
      </c>
      <c r="T441" t="s">
        <v>7442</v>
      </c>
      <c r="U441" t="s">
        <v>7443</v>
      </c>
      <c r="V441" t="s">
        <v>7444</v>
      </c>
      <c r="W441" t="s">
        <v>7445</v>
      </c>
      <c r="X441" t="s">
        <v>7446</v>
      </c>
      <c r="Y441" t="s">
        <v>7447</v>
      </c>
      <c r="Z441" t="s">
        <v>7448</v>
      </c>
      <c r="AA441" t="s">
        <v>7449</v>
      </c>
      <c r="AB441" t="s">
        <v>7450</v>
      </c>
      <c r="AC441" t="s">
        <v>74</v>
      </c>
      <c r="AD441" t="s">
        <v>74</v>
      </c>
      <c r="AE441" t="s">
        <v>74</v>
      </c>
      <c r="AF441" t="s">
        <v>74</v>
      </c>
      <c r="AG441">
        <v>22</v>
      </c>
      <c r="AH441">
        <v>10</v>
      </c>
      <c r="AI441">
        <v>10</v>
      </c>
      <c r="AJ441">
        <v>0</v>
      </c>
      <c r="AK441">
        <v>3</v>
      </c>
      <c r="AL441" t="s">
        <v>1265</v>
      </c>
      <c r="AM441" t="s">
        <v>662</v>
      </c>
      <c r="AN441" t="s">
        <v>7409</v>
      </c>
      <c r="AO441" t="s">
        <v>7277</v>
      </c>
      <c r="AP441" t="s">
        <v>74</v>
      </c>
      <c r="AQ441" t="s">
        <v>74</v>
      </c>
      <c r="AR441" t="s">
        <v>7279</v>
      </c>
      <c r="AS441" t="s">
        <v>7280</v>
      </c>
      <c r="AT441" t="s">
        <v>1490</v>
      </c>
      <c r="AU441">
        <v>2008</v>
      </c>
      <c r="AV441">
        <v>31</v>
      </c>
      <c r="AW441">
        <v>2</v>
      </c>
      <c r="AX441" t="s">
        <v>74</v>
      </c>
      <c r="AY441" t="s">
        <v>74</v>
      </c>
      <c r="AZ441" t="s">
        <v>74</v>
      </c>
      <c r="BA441" t="s">
        <v>74</v>
      </c>
      <c r="BB441">
        <v>255</v>
      </c>
      <c r="BC441">
        <v>257</v>
      </c>
      <c r="BD441" t="s">
        <v>74</v>
      </c>
      <c r="BE441" t="s">
        <v>7451</v>
      </c>
      <c r="BF441" t="str">
        <f>HYPERLINK("http://dx.doi.org/10.1007/s00300-007-0380-1","http://dx.doi.org/10.1007/s00300-007-0380-1")</f>
        <v>http://dx.doi.org/10.1007/s00300-007-0380-1</v>
      </c>
      <c r="BG441" t="s">
        <v>74</v>
      </c>
      <c r="BH441" t="s">
        <v>74</v>
      </c>
      <c r="BI441">
        <v>3</v>
      </c>
      <c r="BJ441" t="s">
        <v>7282</v>
      </c>
      <c r="BK441" t="s">
        <v>97</v>
      </c>
      <c r="BL441" t="s">
        <v>7283</v>
      </c>
      <c r="BM441" t="s">
        <v>7284</v>
      </c>
      <c r="BN441" t="s">
        <v>74</v>
      </c>
      <c r="BO441" t="s">
        <v>74</v>
      </c>
      <c r="BP441" t="s">
        <v>74</v>
      </c>
      <c r="BQ441" t="s">
        <v>74</v>
      </c>
      <c r="BR441" t="s">
        <v>100</v>
      </c>
      <c r="BS441" t="s">
        <v>7452</v>
      </c>
      <c r="BT441" t="str">
        <f>HYPERLINK("https%3A%2F%2Fwww.webofscience.com%2Fwos%2Fwoscc%2Ffull-record%2FWOS:000251231000016","View Full Record in Web of Science")</f>
        <v>View Full Record in Web of Science</v>
      </c>
    </row>
    <row r="442" spans="1:72" x14ac:dyDescent="0.15">
      <c r="A442" t="s">
        <v>72</v>
      </c>
      <c r="B442" t="s">
        <v>7453</v>
      </c>
      <c r="C442" t="s">
        <v>74</v>
      </c>
      <c r="D442" t="s">
        <v>74</v>
      </c>
      <c r="E442" t="s">
        <v>74</v>
      </c>
      <c r="F442" t="s">
        <v>7454</v>
      </c>
      <c r="G442" t="s">
        <v>74</v>
      </c>
      <c r="H442" t="s">
        <v>74</v>
      </c>
      <c r="I442" t="s">
        <v>7455</v>
      </c>
      <c r="J442" t="s">
        <v>7269</v>
      </c>
      <c r="K442" t="s">
        <v>74</v>
      </c>
      <c r="L442" t="s">
        <v>74</v>
      </c>
      <c r="M442" t="s">
        <v>78</v>
      </c>
      <c r="N442" t="s">
        <v>79</v>
      </c>
      <c r="O442" t="s">
        <v>74</v>
      </c>
      <c r="P442" t="s">
        <v>74</v>
      </c>
      <c r="Q442" t="s">
        <v>74</v>
      </c>
      <c r="R442" t="s">
        <v>74</v>
      </c>
      <c r="S442" t="s">
        <v>74</v>
      </c>
      <c r="T442" t="s">
        <v>74</v>
      </c>
      <c r="U442" t="s">
        <v>7456</v>
      </c>
      <c r="V442" t="s">
        <v>74</v>
      </c>
      <c r="W442" t="s">
        <v>7457</v>
      </c>
      <c r="X442" t="s">
        <v>7458</v>
      </c>
      <c r="Y442" t="s">
        <v>7459</v>
      </c>
      <c r="Z442" t="s">
        <v>7460</v>
      </c>
      <c r="AA442" t="s">
        <v>7461</v>
      </c>
      <c r="AB442" t="s">
        <v>7462</v>
      </c>
      <c r="AC442" t="s">
        <v>74</v>
      </c>
      <c r="AD442" t="s">
        <v>74</v>
      </c>
      <c r="AE442" t="s">
        <v>74</v>
      </c>
      <c r="AF442" t="s">
        <v>74</v>
      </c>
      <c r="AG442">
        <v>9</v>
      </c>
      <c r="AH442">
        <v>13</v>
      </c>
      <c r="AI442">
        <v>16</v>
      </c>
      <c r="AJ442">
        <v>0</v>
      </c>
      <c r="AK442">
        <v>4</v>
      </c>
      <c r="AL442" t="s">
        <v>1265</v>
      </c>
      <c r="AM442" t="s">
        <v>662</v>
      </c>
      <c r="AN442" t="s">
        <v>7409</v>
      </c>
      <c r="AO442" t="s">
        <v>7277</v>
      </c>
      <c r="AP442" t="s">
        <v>74</v>
      </c>
      <c r="AQ442" t="s">
        <v>74</v>
      </c>
      <c r="AR442" t="s">
        <v>7279</v>
      </c>
      <c r="AS442" t="s">
        <v>7280</v>
      </c>
      <c r="AT442" t="s">
        <v>1490</v>
      </c>
      <c r="AU442">
        <v>2008</v>
      </c>
      <c r="AV442">
        <v>31</v>
      </c>
      <c r="AW442">
        <v>2</v>
      </c>
      <c r="AX442" t="s">
        <v>74</v>
      </c>
      <c r="AY442" t="s">
        <v>74</v>
      </c>
      <c r="AZ442" t="s">
        <v>74</v>
      </c>
      <c r="BA442" t="s">
        <v>74</v>
      </c>
      <c r="BB442">
        <v>259</v>
      </c>
      <c r="BC442">
        <v>261</v>
      </c>
      <c r="BD442" t="s">
        <v>74</v>
      </c>
      <c r="BE442" t="s">
        <v>7463</v>
      </c>
      <c r="BF442" t="str">
        <f>HYPERLINK("http://dx.doi.org/10.1007/s00300-007-0389-5","http://dx.doi.org/10.1007/s00300-007-0389-5")</f>
        <v>http://dx.doi.org/10.1007/s00300-007-0389-5</v>
      </c>
      <c r="BG442" t="s">
        <v>74</v>
      </c>
      <c r="BH442" t="s">
        <v>74</v>
      </c>
      <c r="BI442">
        <v>3</v>
      </c>
      <c r="BJ442" t="s">
        <v>7282</v>
      </c>
      <c r="BK442" t="s">
        <v>97</v>
      </c>
      <c r="BL442" t="s">
        <v>7283</v>
      </c>
      <c r="BM442" t="s">
        <v>7284</v>
      </c>
      <c r="BN442" t="s">
        <v>74</v>
      </c>
      <c r="BO442" t="s">
        <v>1050</v>
      </c>
      <c r="BP442" t="s">
        <v>74</v>
      </c>
      <c r="BQ442" t="s">
        <v>74</v>
      </c>
      <c r="BR442" t="s">
        <v>100</v>
      </c>
      <c r="BS442" t="s">
        <v>7464</v>
      </c>
      <c r="BT442" t="str">
        <f>HYPERLINK("https%3A%2F%2Fwww.webofscience.com%2Fwos%2Fwoscc%2Ffull-record%2FWOS:000251231000017","View Full Record in Web of Science")</f>
        <v>View Full Record in Web of Science</v>
      </c>
    </row>
    <row r="443" spans="1:72" x14ac:dyDescent="0.15">
      <c r="A443" t="s">
        <v>72</v>
      </c>
      <c r="B443" t="s">
        <v>7465</v>
      </c>
      <c r="C443" t="s">
        <v>74</v>
      </c>
      <c r="D443" t="s">
        <v>74</v>
      </c>
      <c r="E443" t="s">
        <v>74</v>
      </c>
      <c r="F443" t="s">
        <v>7466</v>
      </c>
      <c r="G443" t="s">
        <v>74</v>
      </c>
      <c r="H443" t="s">
        <v>74</v>
      </c>
      <c r="I443" t="s">
        <v>7467</v>
      </c>
      <c r="J443" t="s">
        <v>7468</v>
      </c>
      <c r="K443" t="s">
        <v>74</v>
      </c>
      <c r="L443" t="s">
        <v>74</v>
      </c>
      <c r="M443" t="s">
        <v>78</v>
      </c>
      <c r="N443" t="s">
        <v>79</v>
      </c>
      <c r="O443" t="s">
        <v>74</v>
      </c>
      <c r="P443" t="s">
        <v>74</v>
      </c>
      <c r="Q443" t="s">
        <v>74</v>
      </c>
      <c r="R443" t="s">
        <v>74</v>
      </c>
      <c r="S443" t="s">
        <v>74</v>
      </c>
      <c r="T443" t="s">
        <v>74</v>
      </c>
      <c r="U443" t="s">
        <v>7469</v>
      </c>
      <c r="V443" t="s">
        <v>7470</v>
      </c>
      <c r="W443" t="s">
        <v>7471</v>
      </c>
      <c r="X443" t="s">
        <v>7472</v>
      </c>
      <c r="Y443" t="s">
        <v>7473</v>
      </c>
      <c r="Z443" t="s">
        <v>74</v>
      </c>
      <c r="AA443" t="s">
        <v>7474</v>
      </c>
      <c r="AB443" t="s">
        <v>7475</v>
      </c>
      <c r="AC443" t="s">
        <v>74</v>
      </c>
      <c r="AD443" t="s">
        <v>74</v>
      </c>
      <c r="AE443" t="s">
        <v>74</v>
      </c>
      <c r="AF443" t="s">
        <v>74</v>
      </c>
      <c r="AG443">
        <v>22</v>
      </c>
      <c r="AH443">
        <v>16</v>
      </c>
      <c r="AI443">
        <v>21</v>
      </c>
      <c r="AJ443">
        <v>0</v>
      </c>
      <c r="AK443">
        <v>0</v>
      </c>
      <c r="AL443" t="s">
        <v>4386</v>
      </c>
      <c r="AM443" t="s">
        <v>4387</v>
      </c>
      <c r="AN443" t="s">
        <v>4388</v>
      </c>
      <c r="AO443" t="s">
        <v>7476</v>
      </c>
      <c r="AP443" t="s">
        <v>7477</v>
      </c>
      <c r="AQ443" t="s">
        <v>74</v>
      </c>
      <c r="AR443" t="s">
        <v>7478</v>
      </c>
      <c r="AS443" t="s">
        <v>7479</v>
      </c>
      <c r="AT443" t="s">
        <v>74</v>
      </c>
      <c r="AU443">
        <v>2008</v>
      </c>
      <c r="AV443">
        <v>31</v>
      </c>
      <c r="AW443" t="s">
        <v>551</v>
      </c>
      <c r="AX443" t="s">
        <v>74</v>
      </c>
      <c r="AY443" t="s">
        <v>74</v>
      </c>
      <c r="AZ443" t="s">
        <v>74</v>
      </c>
      <c r="BA443" t="s">
        <v>74</v>
      </c>
      <c r="BB443">
        <v>15</v>
      </c>
      <c r="BC443">
        <v>26</v>
      </c>
      <c r="BD443" t="s">
        <v>74</v>
      </c>
      <c r="BE443" t="s">
        <v>7480</v>
      </c>
      <c r="BF443" t="str">
        <f>HYPERLINK("http://dx.doi.org/10.1080/10889370802175937","http://dx.doi.org/10.1080/10889370802175937")</f>
        <v>http://dx.doi.org/10.1080/10889370802175937</v>
      </c>
      <c r="BG443" t="s">
        <v>74</v>
      </c>
      <c r="BH443" t="s">
        <v>74</v>
      </c>
      <c r="BI443">
        <v>12</v>
      </c>
      <c r="BJ443" t="s">
        <v>5369</v>
      </c>
      <c r="BK443" t="s">
        <v>2166</v>
      </c>
      <c r="BL443" t="s">
        <v>5370</v>
      </c>
      <c r="BM443" t="s">
        <v>7481</v>
      </c>
      <c r="BN443" t="s">
        <v>74</v>
      </c>
      <c r="BO443" t="s">
        <v>74</v>
      </c>
      <c r="BP443" t="s">
        <v>74</v>
      </c>
      <c r="BQ443" t="s">
        <v>74</v>
      </c>
      <c r="BR443" t="s">
        <v>100</v>
      </c>
      <c r="BS443" t="s">
        <v>7482</v>
      </c>
      <c r="BT443" t="str">
        <f>HYPERLINK("https%3A%2F%2Fwww.webofscience.com%2Fwos%2Fwoscc%2Ffull-record%2FWOS:000211101900003","View Full Record in Web of Science")</f>
        <v>View Full Record in Web of Science</v>
      </c>
    </row>
    <row r="444" spans="1:72" x14ac:dyDescent="0.15">
      <c r="A444" t="s">
        <v>72</v>
      </c>
      <c r="B444" t="s">
        <v>7483</v>
      </c>
      <c r="C444" t="s">
        <v>74</v>
      </c>
      <c r="D444" t="s">
        <v>74</v>
      </c>
      <c r="E444" t="s">
        <v>74</v>
      </c>
      <c r="F444" t="s">
        <v>7484</v>
      </c>
      <c r="G444" t="s">
        <v>74</v>
      </c>
      <c r="H444" t="s">
        <v>74</v>
      </c>
      <c r="I444" t="s">
        <v>7485</v>
      </c>
      <c r="J444" t="s">
        <v>7468</v>
      </c>
      <c r="K444" t="s">
        <v>74</v>
      </c>
      <c r="L444" t="s">
        <v>74</v>
      </c>
      <c r="M444" t="s">
        <v>78</v>
      </c>
      <c r="N444" t="s">
        <v>79</v>
      </c>
      <c r="O444" t="s">
        <v>74</v>
      </c>
      <c r="P444" t="s">
        <v>74</v>
      </c>
      <c r="Q444" t="s">
        <v>74</v>
      </c>
      <c r="R444" t="s">
        <v>74</v>
      </c>
      <c r="S444" t="s">
        <v>74</v>
      </c>
      <c r="T444" t="s">
        <v>74</v>
      </c>
      <c r="U444" t="s">
        <v>7486</v>
      </c>
      <c r="V444" t="s">
        <v>7487</v>
      </c>
      <c r="W444" t="s">
        <v>7488</v>
      </c>
      <c r="X444" t="s">
        <v>7489</v>
      </c>
      <c r="Y444" t="s">
        <v>7490</v>
      </c>
      <c r="Z444" t="s">
        <v>74</v>
      </c>
      <c r="AA444" t="s">
        <v>74</v>
      </c>
      <c r="AB444" t="s">
        <v>74</v>
      </c>
      <c r="AC444" t="s">
        <v>74</v>
      </c>
      <c r="AD444" t="s">
        <v>74</v>
      </c>
      <c r="AE444" t="s">
        <v>74</v>
      </c>
      <c r="AF444" t="s">
        <v>74</v>
      </c>
      <c r="AG444">
        <v>145</v>
      </c>
      <c r="AH444">
        <v>9</v>
      </c>
      <c r="AI444">
        <v>11</v>
      </c>
      <c r="AJ444">
        <v>0</v>
      </c>
      <c r="AK444">
        <v>0</v>
      </c>
      <c r="AL444" t="s">
        <v>4386</v>
      </c>
      <c r="AM444" t="s">
        <v>4387</v>
      </c>
      <c r="AN444" t="s">
        <v>4388</v>
      </c>
      <c r="AO444" t="s">
        <v>7476</v>
      </c>
      <c r="AP444" t="s">
        <v>7477</v>
      </c>
      <c r="AQ444" t="s">
        <v>74</v>
      </c>
      <c r="AR444" t="s">
        <v>7478</v>
      </c>
      <c r="AS444" t="s">
        <v>7479</v>
      </c>
      <c r="AT444" t="s">
        <v>74</v>
      </c>
      <c r="AU444">
        <v>2008</v>
      </c>
      <c r="AV444">
        <v>31</v>
      </c>
      <c r="AW444" t="s">
        <v>551</v>
      </c>
      <c r="AX444" t="s">
        <v>74</v>
      </c>
      <c r="AY444" t="s">
        <v>74</v>
      </c>
      <c r="AZ444" t="s">
        <v>74</v>
      </c>
      <c r="BA444" t="s">
        <v>74</v>
      </c>
      <c r="BB444">
        <v>69</v>
      </c>
      <c r="BC444">
        <v>98</v>
      </c>
      <c r="BD444" t="s">
        <v>74</v>
      </c>
      <c r="BE444" t="s">
        <v>7491</v>
      </c>
      <c r="BF444" t="str">
        <f>HYPERLINK("http://dx.doi.org/10.1080/10889370802175929","http://dx.doi.org/10.1080/10889370802175929")</f>
        <v>http://dx.doi.org/10.1080/10889370802175929</v>
      </c>
      <c r="BG444" t="s">
        <v>74</v>
      </c>
      <c r="BH444" t="s">
        <v>74</v>
      </c>
      <c r="BI444">
        <v>30</v>
      </c>
      <c r="BJ444" t="s">
        <v>5369</v>
      </c>
      <c r="BK444" t="s">
        <v>2166</v>
      </c>
      <c r="BL444" t="s">
        <v>5370</v>
      </c>
      <c r="BM444" t="s">
        <v>7481</v>
      </c>
      <c r="BN444" t="s">
        <v>74</v>
      </c>
      <c r="BO444" t="s">
        <v>74</v>
      </c>
      <c r="BP444" t="s">
        <v>74</v>
      </c>
      <c r="BQ444" t="s">
        <v>74</v>
      </c>
      <c r="BR444" t="s">
        <v>100</v>
      </c>
      <c r="BS444" t="s">
        <v>7492</v>
      </c>
      <c r="BT444" t="str">
        <f>HYPERLINK("https%3A%2F%2Fwww.webofscience.com%2Fwos%2Fwoscc%2Ffull-record%2FWOS:000211101900006","View Full Record in Web of Science")</f>
        <v>View Full Record in Web of Science</v>
      </c>
    </row>
    <row r="445" spans="1:72" x14ac:dyDescent="0.15">
      <c r="A445" t="s">
        <v>72</v>
      </c>
      <c r="B445" t="s">
        <v>7493</v>
      </c>
      <c r="C445" t="s">
        <v>74</v>
      </c>
      <c r="D445" t="s">
        <v>74</v>
      </c>
      <c r="E445" t="s">
        <v>74</v>
      </c>
      <c r="F445" t="s">
        <v>7494</v>
      </c>
      <c r="G445" t="s">
        <v>74</v>
      </c>
      <c r="H445" t="s">
        <v>74</v>
      </c>
      <c r="I445" t="s">
        <v>7495</v>
      </c>
      <c r="J445" t="s">
        <v>7468</v>
      </c>
      <c r="K445" t="s">
        <v>74</v>
      </c>
      <c r="L445" t="s">
        <v>74</v>
      </c>
      <c r="M445" t="s">
        <v>78</v>
      </c>
      <c r="N445" t="s">
        <v>79</v>
      </c>
      <c r="O445" t="s">
        <v>74</v>
      </c>
      <c r="P445" t="s">
        <v>74</v>
      </c>
      <c r="Q445" t="s">
        <v>74</v>
      </c>
      <c r="R445" t="s">
        <v>74</v>
      </c>
      <c r="S445" t="s">
        <v>74</v>
      </c>
      <c r="T445" t="s">
        <v>74</v>
      </c>
      <c r="U445" t="s">
        <v>74</v>
      </c>
      <c r="V445" t="s">
        <v>7496</v>
      </c>
      <c r="W445" t="s">
        <v>7497</v>
      </c>
      <c r="X445" t="s">
        <v>7498</v>
      </c>
      <c r="Y445" t="s">
        <v>7499</v>
      </c>
      <c r="Z445" t="s">
        <v>7500</v>
      </c>
      <c r="AA445" t="s">
        <v>7501</v>
      </c>
      <c r="AB445" t="s">
        <v>7502</v>
      </c>
      <c r="AC445" t="s">
        <v>7503</v>
      </c>
      <c r="AD445" t="s">
        <v>2110</v>
      </c>
      <c r="AE445" t="s">
        <v>7504</v>
      </c>
      <c r="AF445" t="s">
        <v>74</v>
      </c>
      <c r="AG445">
        <v>22</v>
      </c>
      <c r="AH445">
        <v>16</v>
      </c>
      <c r="AI445">
        <v>20</v>
      </c>
      <c r="AJ445">
        <v>0</v>
      </c>
      <c r="AK445">
        <v>2</v>
      </c>
      <c r="AL445" t="s">
        <v>4386</v>
      </c>
      <c r="AM445" t="s">
        <v>4387</v>
      </c>
      <c r="AN445" t="s">
        <v>4388</v>
      </c>
      <c r="AO445" t="s">
        <v>7476</v>
      </c>
      <c r="AP445" t="s">
        <v>7477</v>
      </c>
      <c r="AQ445" t="s">
        <v>74</v>
      </c>
      <c r="AR445" t="s">
        <v>7478</v>
      </c>
      <c r="AS445" t="s">
        <v>7479</v>
      </c>
      <c r="AT445" t="s">
        <v>74</v>
      </c>
      <c r="AU445">
        <v>2008</v>
      </c>
      <c r="AV445">
        <v>31</v>
      </c>
      <c r="AW445" t="s">
        <v>489</v>
      </c>
      <c r="AX445" t="s">
        <v>74</v>
      </c>
      <c r="AY445" t="s">
        <v>74</v>
      </c>
      <c r="AZ445" t="s">
        <v>74</v>
      </c>
      <c r="BA445" t="s">
        <v>74</v>
      </c>
      <c r="BB445">
        <v>119</v>
      </c>
      <c r="BC445">
        <v>144</v>
      </c>
      <c r="BD445" t="s">
        <v>74</v>
      </c>
      <c r="BE445" t="s">
        <v>7505</v>
      </c>
      <c r="BF445" t="str">
        <f>HYPERLINK("http://dx.doi.org/10.1080/10889370802579856","http://dx.doi.org/10.1080/10889370802579856")</f>
        <v>http://dx.doi.org/10.1080/10889370802579856</v>
      </c>
      <c r="BG445" t="s">
        <v>74</v>
      </c>
      <c r="BH445" t="s">
        <v>74</v>
      </c>
      <c r="BI445">
        <v>26</v>
      </c>
      <c r="BJ445" t="s">
        <v>5369</v>
      </c>
      <c r="BK445" t="s">
        <v>2166</v>
      </c>
      <c r="BL445" t="s">
        <v>5370</v>
      </c>
      <c r="BM445" t="s">
        <v>7506</v>
      </c>
      <c r="BN445" t="s">
        <v>74</v>
      </c>
      <c r="BO445" t="s">
        <v>1050</v>
      </c>
      <c r="BP445" t="s">
        <v>74</v>
      </c>
      <c r="BQ445" t="s">
        <v>74</v>
      </c>
      <c r="BR445" t="s">
        <v>100</v>
      </c>
      <c r="BS445" t="s">
        <v>7507</v>
      </c>
      <c r="BT445" t="str">
        <f>HYPERLINK("https%3A%2F%2Fwww.webofscience.com%2Fwos%2Fwoscc%2Ffull-record%2FWOS:000211102700002","View Full Record in Web of Science")</f>
        <v>View Full Record in Web of Science</v>
      </c>
    </row>
    <row r="446" spans="1:72" x14ac:dyDescent="0.15">
      <c r="A446" t="s">
        <v>72</v>
      </c>
      <c r="B446" t="s">
        <v>7508</v>
      </c>
      <c r="C446" t="s">
        <v>74</v>
      </c>
      <c r="D446" t="s">
        <v>74</v>
      </c>
      <c r="E446" t="s">
        <v>74</v>
      </c>
      <c r="F446" t="s">
        <v>7509</v>
      </c>
      <c r="G446" t="s">
        <v>74</v>
      </c>
      <c r="H446" t="s">
        <v>74</v>
      </c>
      <c r="I446" t="s">
        <v>7510</v>
      </c>
      <c r="J446" t="s">
        <v>7511</v>
      </c>
      <c r="K446" t="s">
        <v>74</v>
      </c>
      <c r="L446" t="s">
        <v>74</v>
      </c>
      <c r="M446" t="s">
        <v>78</v>
      </c>
      <c r="N446" t="s">
        <v>79</v>
      </c>
      <c r="O446" t="s">
        <v>74</v>
      </c>
      <c r="P446" t="s">
        <v>74</v>
      </c>
      <c r="Q446" t="s">
        <v>74</v>
      </c>
      <c r="R446" t="s">
        <v>74</v>
      </c>
      <c r="S446" t="s">
        <v>74</v>
      </c>
      <c r="T446" t="s">
        <v>74</v>
      </c>
      <c r="U446" t="s">
        <v>74</v>
      </c>
      <c r="V446" t="s">
        <v>7512</v>
      </c>
      <c r="W446" t="s">
        <v>7513</v>
      </c>
      <c r="X446" t="s">
        <v>7514</v>
      </c>
      <c r="Y446" t="s">
        <v>7515</v>
      </c>
      <c r="Z446" t="s">
        <v>7516</v>
      </c>
      <c r="AA446" t="s">
        <v>74</v>
      </c>
      <c r="AB446" t="s">
        <v>74</v>
      </c>
      <c r="AC446" t="s">
        <v>74</v>
      </c>
      <c r="AD446" t="s">
        <v>74</v>
      </c>
      <c r="AE446" t="s">
        <v>74</v>
      </c>
      <c r="AF446" t="s">
        <v>74</v>
      </c>
      <c r="AG446">
        <v>71</v>
      </c>
      <c r="AH446">
        <v>3</v>
      </c>
      <c r="AI446">
        <v>4</v>
      </c>
      <c r="AJ446">
        <v>0</v>
      </c>
      <c r="AK446">
        <v>4</v>
      </c>
      <c r="AL446" t="s">
        <v>2556</v>
      </c>
      <c r="AM446" t="s">
        <v>662</v>
      </c>
      <c r="AN446" t="s">
        <v>4911</v>
      </c>
      <c r="AO446" t="s">
        <v>7517</v>
      </c>
      <c r="AP446" t="s">
        <v>7518</v>
      </c>
      <c r="AQ446" t="s">
        <v>74</v>
      </c>
      <c r="AR446" t="s">
        <v>7519</v>
      </c>
      <c r="AS446" t="s">
        <v>7520</v>
      </c>
      <c r="AT446" t="s">
        <v>1490</v>
      </c>
      <c r="AU446">
        <v>2008</v>
      </c>
      <c r="AV446">
        <v>44</v>
      </c>
      <c r="AW446">
        <v>228</v>
      </c>
      <c r="AX446" t="s">
        <v>74</v>
      </c>
      <c r="AY446" t="s">
        <v>74</v>
      </c>
      <c r="AZ446" t="s">
        <v>74</v>
      </c>
      <c r="BA446" t="s">
        <v>74</v>
      </c>
      <c r="BB446">
        <v>1</v>
      </c>
      <c r="BC446">
        <v>14</v>
      </c>
      <c r="BD446" t="s">
        <v>74</v>
      </c>
      <c r="BE446" t="s">
        <v>7521</v>
      </c>
      <c r="BF446" t="str">
        <f>HYPERLINK("http://dx.doi.org/10.1017/S0032247407006961","http://dx.doi.org/10.1017/S0032247407006961")</f>
        <v>http://dx.doi.org/10.1017/S0032247407006961</v>
      </c>
      <c r="BG446" t="s">
        <v>74</v>
      </c>
      <c r="BH446" t="s">
        <v>74</v>
      </c>
      <c r="BI446">
        <v>14</v>
      </c>
      <c r="BJ446" t="s">
        <v>1976</v>
      </c>
      <c r="BK446" t="s">
        <v>97</v>
      </c>
      <c r="BL446" t="s">
        <v>275</v>
      </c>
      <c r="BM446" t="s">
        <v>7522</v>
      </c>
      <c r="BN446" t="s">
        <v>74</v>
      </c>
      <c r="BO446" t="s">
        <v>74</v>
      </c>
      <c r="BP446" t="s">
        <v>74</v>
      </c>
      <c r="BQ446" t="s">
        <v>74</v>
      </c>
      <c r="BR446" t="s">
        <v>100</v>
      </c>
      <c r="BS446" t="s">
        <v>7523</v>
      </c>
      <c r="BT446" t="str">
        <f>HYPERLINK("https%3A%2F%2Fwww.webofscience.com%2Fwos%2Fwoscc%2Ffull-record%2FWOS:000255129000001","View Full Record in Web of Science")</f>
        <v>View Full Record in Web of Science</v>
      </c>
    </row>
    <row r="447" spans="1:72" x14ac:dyDescent="0.15">
      <c r="A447" t="s">
        <v>72</v>
      </c>
      <c r="B447" t="s">
        <v>7524</v>
      </c>
      <c r="C447" t="s">
        <v>74</v>
      </c>
      <c r="D447" t="s">
        <v>74</v>
      </c>
      <c r="E447" t="s">
        <v>74</v>
      </c>
      <c r="F447" t="s">
        <v>7525</v>
      </c>
      <c r="G447" t="s">
        <v>74</v>
      </c>
      <c r="H447" t="s">
        <v>74</v>
      </c>
      <c r="I447" t="s">
        <v>7526</v>
      </c>
      <c r="J447" t="s">
        <v>7511</v>
      </c>
      <c r="K447" t="s">
        <v>74</v>
      </c>
      <c r="L447" t="s">
        <v>74</v>
      </c>
      <c r="M447" t="s">
        <v>78</v>
      </c>
      <c r="N447" t="s">
        <v>79</v>
      </c>
      <c r="O447" t="s">
        <v>74</v>
      </c>
      <c r="P447" t="s">
        <v>74</v>
      </c>
      <c r="Q447" t="s">
        <v>74</v>
      </c>
      <c r="R447" t="s">
        <v>74</v>
      </c>
      <c r="S447" t="s">
        <v>74</v>
      </c>
      <c r="T447" t="s">
        <v>74</v>
      </c>
      <c r="U447" t="s">
        <v>7527</v>
      </c>
      <c r="V447" t="s">
        <v>7528</v>
      </c>
      <c r="W447" t="s">
        <v>7529</v>
      </c>
      <c r="X447" t="s">
        <v>7530</v>
      </c>
      <c r="Y447" t="s">
        <v>7531</v>
      </c>
      <c r="Z447" t="s">
        <v>74</v>
      </c>
      <c r="AA447" t="s">
        <v>7532</v>
      </c>
      <c r="AB447" t="s">
        <v>7533</v>
      </c>
      <c r="AC447" t="s">
        <v>74</v>
      </c>
      <c r="AD447" t="s">
        <v>74</v>
      </c>
      <c r="AE447" t="s">
        <v>74</v>
      </c>
      <c r="AF447" t="s">
        <v>74</v>
      </c>
      <c r="AG447">
        <v>30</v>
      </c>
      <c r="AH447">
        <v>11</v>
      </c>
      <c r="AI447">
        <v>12</v>
      </c>
      <c r="AJ447">
        <v>0</v>
      </c>
      <c r="AK447">
        <v>8</v>
      </c>
      <c r="AL447" t="s">
        <v>2556</v>
      </c>
      <c r="AM447" t="s">
        <v>662</v>
      </c>
      <c r="AN447" t="s">
        <v>4911</v>
      </c>
      <c r="AO447" t="s">
        <v>7517</v>
      </c>
      <c r="AP447" t="s">
        <v>7518</v>
      </c>
      <c r="AQ447" t="s">
        <v>74</v>
      </c>
      <c r="AR447" t="s">
        <v>7519</v>
      </c>
      <c r="AS447" t="s">
        <v>7520</v>
      </c>
      <c r="AT447" t="s">
        <v>1490</v>
      </c>
      <c r="AU447">
        <v>2008</v>
      </c>
      <c r="AV447">
        <v>44</v>
      </c>
      <c r="AW447">
        <v>228</v>
      </c>
      <c r="AX447" t="s">
        <v>74</v>
      </c>
      <c r="AY447" t="s">
        <v>74</v>
      </c>
      <c r="AZ447" t="s">
        <v>74</v>
      </c>
      <c r="BA447" t="s">
        <v>74</v>
      </c>
      <c r="BB447">
        <v>15</v>
      </c>
      <c r="BC447">
        <v>23</v>
      </c>
      <c r="BD447" t="s">
        <v>74</v>
      </c>
      <c r="BE447" t="s">
        <v>7534</v>
      </c>
      <c r="BF447" t="str">
        <f>HYPERLINK("http://dx.doi.org/10.1017/S0032247407006778","http://dx.doi.org/10.1017/S0032247407006778")</f>
        <v>http://dx.doi.org/10.1017/S0032247407006778</v>
      </c>
      <c r="BG447" t="s">
        <v>74</v>
      </c>
      <c r="BH447" t="s">
        <v>74</v>
      </c>
      <c r="BI447">
        <v>9</v>
      </c>
      <c r="BJ447" t="s">
        <v>1976</v>
      </c>
      <c r="BK447" t="s">
        <v>97</v>
      </c>
      <c r="BL447" t="s">
        <v>275</v>
      </c>
      <c r="BM447" t="s">
        <v>7522</v>
      </c>
      <c r="BN447" t="s">
        <v>74</v>
      </c>
      <c r="BO447" t="s">
        <v>3777</v>
      </c>
      <c r="BP447" t="s">
        <v>74</v>
      </c>
      <c r="BQ447" t="s">
        <v>74</v>
      </c>
      <c r="BR447" t="s">
        <v>100</v>
      </c>
      <c r="BS447" t="s">
        <v>7535</v>
      </c>
      <c r="BT447" t="str">
        <f>HYPERLINK("https%3A%2F%2Fwww.webofscience.com%2Fwos%2Fwoscc%2Ffull-record%2FWOS:000255129000002","View Full Record in Web of Science")</f>
        <v>View Full Record in Web of Science</v>
      </c>
    </row>
    <row r="448" spans="1:72" x14ac:dyDescent="0.15">
      <c r="A448" t="s">
        <v>72</v>
      </c>
      <c r="B448" t="s">
        <v>7536</v>
      </c>
      <c r="C448" t="s">
        <v>74</v>
      </c>
      <c r="D448" t="s">
        <v>74</v>
      </c>
      <c r="E448" t="s">
        <v>74</v>
      </c>
      <c r="F448" t="s">
        <v>7537</v>
      </c>
      <c r="G448" t="s">
        <v>74</v>
      </c>
      <c r="H448" t="s">
        <v>74</v>
      </c>
      <c r="I448" t="s">
        <v>7538</v>
      </c>
      <c r="J448" t="s">
        <v>7511</v>
      </c>
      <c r="K448" t="s">
        <v>74</v>
      </c>
      <c r="L448" t="s">
        <v>74</v>
      </c>
      <c r="M448" t="s">
        <v>78</v>
      </c>
      <c r="N448" t="s">
        <v>79</v>
      </c>
      <c r="O448" t="s">
        <v>74</v>
      </c>
      <c r="P448" t="s">
        <v>74</v>
      </c>
      <c r="Q448" t="s">
        <v>74</v>
      </c>
      <c r="R448" t="s">
        <v>74</v>
      </c>
      <c r="S448" t="s">
        <v>74</v>
      </c>
      <c r="T448" t="s">
        <v>74</v>
      </c>
      <c r="U448" t="s">
        <v>74</v>
      </c>
      <c r="V448" t="s">
        <v>7539</v>
      </c>
      <c r="W448" t="s">
        <v>7540</v>
      </c>
      <c r="X448" t="s">
        <v>4378</v>
      </c>
      <c r="Y448" t="s">
        <v>7541</v>
      </c>
      <c r="Z448" t="s">
        <v>74</v>
      </c>
      <c r="AA448" t="s">
        <v>74</v>
      </c>
      <c r="AB448" t="s">
        <v>74</v>
      </c>
      <c r="AC448" t="s">
        <v>74</v>
      </c>
      <c r="AD448" t="s">
        <v>74</v>
      </c>
      <c r="AE448" t="s">
        <v>74</v>
      </c>
      <c r="AF448" t="s">
        <v>74</v>
      </c>
      <c r="AG448">
        <v>54</v>
      </c>
      <c r="AH448">
        <v>24</v>
      </c>
      <c r="AI448">
        <v>26</v>
      </c>
      <c r="AJ448">
        <v>0</v>
      </c>
      <c r="AK448">
        <v>7</v>
      </c>
      <c r="AL448" t="s">
        <v>2556</v>
      </c>
      <c r="AM448" t="s">
        <v>662</v>
      </c>
      <c r="AN448" t="s">
        <v>4911</v>
      </c>
      <c r="AO448" t="s">
        <v>7517</v>
      </c>
      <c r="AP448" t="s">
        <v>74</v>
      </c>
      <c r="AQ448" t="s">
        <v>74</v>
      </c>
      <c r="AR448" t="s">
        <v>7519</v>
      </c>
      <c r="AS448" t="s">
        <v>7520</v>
      </c>
      <c r="AT448" t="s">
        <v>1490</v>
      </c>
      <c r="AU448">
        <v>2008</v>
      </c>
      <c r="AV448">
        <v>44</v>
      </c>
      <c r="AW448">
        <v>228</v>
      </c>
      <c r="AX448" t="s">
        <v>74</v>
      </c>
      <c r="AY448" t="s">
        <v>74</v>
      </c>
      <c r="AZ448" t="s">
        <v>74</v>
      </c>
      <c r="BA448" t="s">
        <v>74</v>
      </c>
      <c r="BB448">
        <v>35</v>
      </c>
      <c r="BC448">
        <v>44</v>
      </c>
      <c r="BD448" t="s">
        <v>74</v>
      </c>
      <c r="BE448" t="s">
        <v>7542</v>
      </c>
      <c r="BF448" t="str">
        <f>HYPERLINK("http://dx.doi.org/10.1017/S0032247407006766","http://dx.doi.org/10.1017/S0032247407006766")</f>
        <v>http://dx.doi.org/10.1017/S0032247407006766</v>
      </c>
      <c r="BG448" t="s">
        <v>74</v>
      </c>
      <c r="BH448" t="s">
        <v>74</v>
      </c>
      <c r="BI448">
        <v>10</v>
      </c>
      <c r="BJ448" t="s">
        <v>1976</v>
      </c>
      <c r="BK448" t="s">
        <v>97</v>
      </c>
      <c r="BL448" t="s">
        <v>275</v>
      </c>
      <c r="BM448" t="s">
        <v>7522</v>
      </c>
      <c r="BN448" t="s">
        <v>74</v>
      </c>
      <c r="BO448" t="s">
        <v>74</v>
      </c>
      <c r="BP448" t="s">
        <v>74</v>
      </c>
      <c r="BQ448" t="s">
        <v>74</v>
      </c>
      <c r="BR448" t="s">
        <v>100</v>
      </c>
      <c r="BS448" t="s">
        <v>7543</v>
      </c>
      <c r="BT448" t="str">
        <f>HYPERLINK("https%3A%2F%2Fwww.webofscience.com%2Fwos%2Fwoscc%2Ffull-record%2FWOS:000255129000004","View Full Record in Web of Science")</f>
        <v>View Full Record in Web of Science</v>
      </c>
    </row>
    <row r="449" spans="1:72" x14ac:dyDescent="0.15">
      <c r="A449" t="s">
        <v>72</v>
      </c>
      <c r="B449" t="s">
        <v>7544</v>
      </c>
      <c r="C449" t="s">
        <v>74</v>
      </c>
      <c r="D449" t="s">
        <v>74</v>
      </c>
      <c r="E449" t="s">
        <v>74</v>
      </c>
      <c r="F449" t="s">
        <v>7545</v>
      </c>
      <c r="G449" t="s">
        <v>74</v>
      </c>
      <c r="H449" t="s">
        <v>74</v>
      </c>
      <c r="I449" t="s">
        <v>7546</v>
      </c>
      <c r="J449" t="s">
        <v>7511</v>
      </c>
      <c r="K449" t="s">
        <v>74</v>
      </c>
      <c r="L449" t="s">
        <v>74</v>
      </c>
      <c r="M449" t="s">
        <v>78</v>
      </c>
      <c r="N449" t="s">
        <v>2891</v>
      </c>
      <c r="O449" t="s">
        <v>74</v>
      </c>
      <c r="P449" t="s">
        <v>74</v>
      </c>
      <c r="Q449" t="s">
        <v>74</v>
      </c>
      <c r="R449" t="s">
        <v>74</v>
      </c>
      <c r="S449" t="s">
        <v>74</v>
      </c>
      <c r="T449" t="s">
        <v>74</v>
      </c>
      <c r="U449" t="s">
        <v>74</v>
      </c>
      <c r="V449" t="s">
        <v>74</v>
      </c>
      <c r="W449" t="s">
        <v>74</v>
      </c>
      <c r="X449" t="s">
        <v>74</v>
      </c>
      <c r="Y449" t="s">
        <v>7547</v>
      </c>
      <c r="Z449" t="s">
        <v>74</v>
      </c>
      <c r="AA449" t="s">
        <v>74</v>
      </c>
      <c r="AB449" t="s">
        <v>74</v>
      </c>
      <c r="AC449" t="s">
        <v>74</v>
      </c>
      <c r="AD449" t="s">
        <v>74</v>
      </c>
      <c r="AE449" t="s">
        <v>74</v>
      </c>
      <c r="AF449" t="s">
        <v>74</v>
      </c>
      <c r="AG449">
        <v>14</v>
      </c>
      <c r="AH449">
        <v>0</v>
      </c>
      <c r="AI449">
        <v>0</v>
      </c>
      <c r="AJ449">
        <v>0</v>
      </c>
      <c r="AK449">
        <v>1</v>
      </c>
      <c r="AL449" t="s">
        <v>2556</v>
      </c>
      <c r="AM449" t="s">
        <v>662</v>
      </c>
      <c r="AN449" t="s">
        <v>4911</v>
      </c>
      <c r="AO449" t="s">
        <v>7517</v>
      </c>
      <c r="AP449" t="s">
        <v>74</v>
      </c>
      <c r="AQ449" t="s">
        <v>74</v>
      </c>
      <c r="AR449" t="s">
        <v>7519</v>
      </c>
      <c r="AS449" t="s">
        <v>7520</v>
      </c>
      <c r="AT449" t="s">
        <v>1490</v>
      </c>
      <c r="AU449">
        <v>2008</v>
      </c>
      <c r="AV449">
        <v>44</v>
      </c>
      <c r="AW449">
        <v>228</v>
      </c>
      <c r="AX449" t="s">
        <v>74</v>
      </c>
      <c r="AY449" t="s">
        <v>74</v>
      </c>
      <c r="AZ449" t="s">
        <v>74</v>
      </c>
      <c r="BA449" t="s">
        <v>74</v>
      </c>
      <c r="BB449">
        <v>83</v>
      </c>
      <c r="BC449">
        <v>84</v>
      </c>
      <c r="BD449" t="s">
        <v>74</v>
      </c>
      <c r="BE449" t="s">
        <v>7548</v>
      </c>
      <c r="BF449" t="str">
        <f>HYPERLINK("http://dx.doi.org/10.1017/S003224740700695X","http://dx.doi.org/10.1017/S003224740700695X")</f>
        <v>http://dx.doi.org/10.1017/S003224740700695X</v>
      </c>
      <c r="BG449" t="s">
        <v>74</v>
      </c>
      <c r="BH449" t="s">
        <v>74</v>
      </c>
      <c r="BI449">
        <v>2</v>
      </c>
      <c r="BJ449" t="s">
        <v>1976</v>
      </c>
      <c r="BK449" t="s">
        <v>97</v>
      </c>
      <c r="BL449" t="s">
        <v>275</v>
      </c>
      <c r="BM449" t="s">
        <v>7522</v>
      </c>
      <c r="BN449" t="s">
        <v>74</v>
      </c>
      <c r="BO449" t="s">
        <v>179</v>
      </c>
      <c r="BP449" t="s">
        <v>74</v>
      </c>
      <c r="BQ449" t="s">
        <v>74</v>
      </c>
      <c r="BR449" t="s">
        <v>100</v>
      </c>
      <c r="BS449" t="s">
        <v>7549</v>
      </c>
      <c r="BT449" t="str">
        <f>HYPERLINK("https%3A%2F%2Fwww.webofscience.com%2Fwos%2Fwoscc%2Ffull-record%2FWOS:000255129000008","View Full Record in Web of Science")</f>
        <v>View Full Record in Web of Science</v>
      </c>
    </row>
    <row r="450" spans="1:72" x14ac:dyDescent="0.15">
      <c r="A450" t="s">
        <v>72</v>
      </c>
      <c r="B450" t="s">
        <v>7550</v>
      </c>
      <c r="C450" t="s">
        <v>74</v>
      </c>
      <c r="D450" t="s">
        <v>74</v>
      </c>
      <c r="E450" t="s">
        <v>74</v>
      </c>
      <c r="F450" t="s">
        <v>7551</v>
      </c>
      <c r="G450" t="s">
        <v>74</v>
      </c>
      <c r="H450" t="s">
        <v>74</v>
      </c>
      <c r="I450" t="s">
        <v>7552</v>
      </c>
      <c r="J450" t="s">
        <v>7553</v>
      </c>
      <c r="K450" t="s">
        <v>74</v>
      </c>
      <c r="L450" t="s">
        <v>74</v>
      </c>
      <c r="M450" t="s">
        <v>78</v>
      </c>
      <c r="N450" t="s">
        <v>438</v>
      </c>
      <c r="O450" t="s">
        <v>74</v>
      </c>
      <c r="P450" t="s">
        <v>74</v>
      </c>
      <c r="Q450" t="s">
        <v>74</v>
      </c>
      <c r="R450" t="s">
        <v>74</v>
      </c>
      <c r="S450" t="s">
        <v>74</v>
      </c>
      <c r="T450" t="s">
        <v>74</v>
      </c>
      <c r="U450" t="s">
        <v>74</v>
      </c>
      <c r="V450" t="s">
        <v>74</v>
      </c>
      <c r="W450" t="s">
        <v>74</v>
      </c>
      <c r="X450" t="s">
        <v>74</v>
      </c>
      <c r="Y450" t="s">
        <v>74</v>
      </c>
      <c r="Z450" t="s">
        <v>74</v>
      </c>
      <c r="AA450" t="s">
        <v>74</v>
      </c>
      <c r="AB450" t="s">
        <v>74</v>
      </c>
      <c r="AC450" t="s">
        <v>74</v>
      </c>
      <c r="AD450" t="s">
        <v>74</v>
      </c>
      <c r="AE450" t="s">
        <v>74</v>
      </c>
      <c r="AF450" t="s">
        <v>74</v>
      </c>
      <c r="AG450">
        <v>4</v>
      </c>
      <c r="AH450">
        <v>4</v>
      </c>
      <c r="AI450">
        <v>5</v>
      </c>
      <c r="AJ450">
        <v>0</v>
      </c>
      <c r="AK450">
        <v>0</v>
      </c>
      <c r="AL450" t="s">
        <v>7554</v>
      </c>
      <c r="AM450" t="s">
        <v>7555</v>
      </c>
      <c r="AN450" t="s">
        <v>7556</v>
      </c>
      <c r="AO450" t="s">
        <v>7557</v>
      </c>
      <c r="AP450" t="s">
        <v>7558</v>
      </c>
      <c r="AQ450" t="s">
        <v>74</v>
      </c>
      <c r="AR450" t="s">
        <v>7559</v>
      </c>
      <c r="AS450" t="s">
        <v>7560</v>
      </c>
      <c r="AT450" t="s">
        <v>74</v>
      </c>
      <c r="AU450">
        <v>2008</v>
      </c>
      <c r="AV450">
        <v>27</v>
      </c>
      <c r="AW450">
        <v>1</v>
      </c>
      <c r="AX450" t="s">
        <v>74</v>
      </c>
      <c r="AY450" t="s">
        <v>74</v>
      </c>
      <c r="AZ450" t="s">
        <v>74</v>
      </c>
      <c r="BA450" t="s">
        <v>74</v>
      </c>
      <c r="BB450">
        <v>1</v>
      </c>
      <c r="BC450">
        <v>6</v>
      </c>
      <c r="BD450" t="s">
        <v>74</v>
      </c>
      <c r="BE450" t="s">
        <v>7561</v>
      </c>
      <c r="BF450" t="str">
        <f>HYPERLINK("http://dx.doi.org/10.1111/j.1751-8369.2008.00048.x","http://dx.doi.org/10.1111/j.1751-8369.2008.00048.x")</f>
        <v>http://dx.doi.org/10.1111/j.1751-8369.2008.00048.x</v>
      </c>
      <c r="BG450" t="s">
        <v>74</v>
      </c>
      <c r="BH450" t="s">
        <v>74</v>
      </c>
      <c r="BI450">
        <v>6</v>
      </c>
      <c r="BJ450" t="s">
        <v>7562</v>
      </c>
      <c r="BK450" t="s">
        <v>97</v>
      </c>
      <c r="BL450" t="s">
        <v>7563</v>
      </c>
      <c r="BM450" t="s">
        <v>7564</v>
      </c>
      <c r="BN450" t="s">
        <v>74</v>
      </c>
      <c r="BO450" t="s">
        <v>649</v>
      </c>
      <c r="BP450" t="s">
        <v>74</v>
      </c>
      <c r="BQ450" t="s">
        <v>74</v>
      </c>
      <c r="BR450" t="s">
        <v>100</v>
      </c>
      <c r="BS450" t="s">
        <v>7565</v>
      </c>
      <c r="BT450" t="str">
        <f>HYPERLINK("https%3A%2F%2Fwww.webofscience.com%2Fwos%2Fwoscc%2Ffull-record%2FWOS:000254841200001","View Full Record in Web of Science")</f>
        <v>View Full Record in Web of Science</v>
      </c>
    </row>
    <row r="451" spans="1:72" x14ac:dyDescent="0.15">
      <c r="A451" t="s">
        <v>72</v>
      </c>
      <c r="B451" t="s">
        <v>7566</v>
      </c>
      <c r="C451" t="s">
        <v>74</v>
      </c>
      <c r="D451" t="s">
        <v>74</v>
      </c>
      <c r="E451" t="s">
        <v>74</v>
      </c>
      <c r="F451" t="s">
        <v>7567</v>
      </c>
      <c r="G451" t="s">
        <v>74</v>
      </c>
      <c r="H451" t="s">
        <v>74</v>
      </c>
      <c r="I451" t="s">
        <v>7568</v>
      </c>
      <c r="J451" t="s">
        <v>7569</v>
      </c>
      <c r="K451" t="s">
        <v>74</v>
      </c>
      <c r="L451" t="s">
        <v>74</v>
      </c>
      <c r="M451" t="s">
        <v>78</v>
      </c>
      <c r="N451" t="s">
        <v>79</v>
      </c>
      <c r="O451" t="s">
        <v>74</v>
      </c>
      <c r="P451" t="s">
        <v>74</v>
      </c>
      <c r="Q451" t="s">
        <v>74</v>
      </c>
      <c r="R451" t="s">
        <v>74</v>
      </c>
      <c r="S451" t="s">
        <v>74</v>
      </c>
      <c r="T451" t="s">
        <v>7570</v>
      </c>
      <c r="U451" t="s">
        <v>7571</v>
      </c>
      <c r="V451" t="s">
        <v>7572</v>
      </c>
      <c r="W451" t="s">
        <v>7573</v>
      </c>
      <c r="X451" t="s">
        <v>7574</v>
      </c>
      <c r="Y451" t="s">
        <v>7575</v>
      </c>
      <c r="Z451" t="s">
        <v>7576</v>
      </c>
      <c r="AA451" t="s">
        <v>7577</v>
      </c>
      <c r="AB451" t="s">
        <v>7578</v>
      </c>
      <c r="AC451" t="s">
        <v>74</v>
      </c>
      <c r="AD451" t="s">
        <v>74</v>
      </c>
      <c r="AE451" t="s">
        <v>74</v>
      </c>
      <c r="AF451" t="s">
        <v>74</v>
      </c>
      <c r="AG451">
        <v>37</v>
      </c>
      <c r="AH451">
        <v>13</v>
      </c>
      <c r="AI451">
        <v>13</v>
      </c>
      <c r="AJ451">
        <v>0</v>
      </c>
      <c r="AK451">
        <v>10</v>
      </c>
      <c r="AL451" t="s">
        <v>7579</v>
      </c>
      <c r="AM451" t="s">
        <v>7580</v>
      </c>
      <c r="AN451" t="s">
        <v>7581</v>
      </c>
      <c r="AO451" t="s">
        <v>7582</v>
      </c>
      <c r="AP451" t="s">
        <v>74</v>
      </c>
      <c r="AQ451" t="s">
        <v>74</v>
      </c>
      <c r="AR451" t="s">
        <v>7583</v>
      </c>
      <c r="AS451" t="s">
        <v>7584</v>
      </c>
      <c r="AT451" t="s">
        <v>74</v>
      </c>
      <c r="AU451">
        <v>2008</v>
      </c>
      <c r="AV451">
        <v>56</v>
      </c>
      <c r="AW451">
        <v>2</v>
      </c>
      <c r="AX451" t="s">
        <v>74</v>
      </c>
      <c r="AY451" t="s">
        <v>74</v>
      </c>
      <c r="AZ451" t="s">
        <v>74</v>
      </c>
      <c r="BA451" t="s">
        <v>74</v>
      </c>
      <c r="BB451">
        <v>209</v>
      </c>
      <c r="BC451">
        <v>216</v>
      </c>
      <c r="BD451" t="s">
        <v>74</v>
      </c>
      <c r="BE451" t="s">
        <v>74</v>
      </c>
      <c r="BF451" t="s">
        <v>74</v>
      </c>
      <c r="BG451" t="s">
        <v>74</v>
      </c>
      <c r="BH451" t="s">
        <v>74</v>
      </c>
      <c r="BI451">
        <v>8</v>
      </c>
      <c r="BJ451" t="s">
        <v>297</v>
      </c>
      <c r="BK451" t="s">
        <v>97</v>
      </c>
      <c r="BL451" t="s">
        <v>275</v>
      </c>
      <c r="BM451" t="s">
        <v>7585</v>
      </c>
      <c r="BN451" t="s">
        <v>74</v>
      </c>
      <c r="BO451" t="s">
        <v>74</v>
      </c>
      <c r="BP451" t="s">
        <v>74</v>
      </c>
      <c r="BQ451" t="s">
        <v>74</v>
      </c>
      <c r="BR451" t="s">
        <v>100</v>
      </c>
      <c r="BS451" t="s">
        <v>7586</v>
      </c>
      <c r="BT451" t="str">
        <f>HYPERLINK("https%3A%2F%2Fwww.webofscience.com%2Fwos%2Fwoscc%2Ffull-record%2FWOS:000256959500002","View Full Record in Web of Science")</f>
        <v>View Full Record in Web of Science</v>
      </c>
    </row>
    <row r="452" spans="1:72" x14ac:dyDescent="0.15">
      <c r="A452" t="s">
        <v>72</v>
      </c>
      <c r="B452" t="s">
        <v>7587</v>
      </c>
      <c r="C452" t="s">
        <v>74</v>
      </c>
      <c r="D452" t="s">
        <v>74</v>
      </c>
      <c r="E452" t="s">
        <v>74</v>
      </c>
      <c r="F452" t="s">
        <v>7588</v>
      </c>
      <c r="G452" t="s">
        <v>74</v>
      </c>
      <c r="H452" t="s">
        <v>74</v>
      </c>
      <c r="I452" t="s">
        <v>7589</v>
      </c>
      <c r="J452" t="s">
        <v>7590</v>
      </c>
      <c r="K452" t="s">
        <v>74</v>
      </c>
      <c r="L452" t="s">
        <v>74</v>
      </c>
      <c r="M452" t="s">
        <v>78</v>
      </c>
      <c r="N452" t="s">
        <v>79</v>
      </c>
      <c r="O452" t="s">
        <v>74</v>
      </c>
      <c r="P452" t="s">
        <v>74</v>
      </c>
      <c r="Q452" t="s">
        <v>74</v>
      </c>
      <c r="R452" t="s">
        <v>74</v>
      </c>
      <c r="S452" t="s">
        <v>74</v>
      </c>
      <c r="T452" t="s">
        <v>7591</v>
      </c>
      <c r="U452" t="s">
        <v>7592</v>
      </c>
      <c r="V452" t="s">
        <v>7593</v>
      </c>
      <c r="W452" t="s">
        <v>7594</v>
      </c>
      <c r="X452" t="s">
        <v>7595</v>
      </c>
      <c r="Y452" t="s">
        <v>7596</v>
      </c>
      <c r="Z452" t="s">
        <v>7597</v>
      </c>
      <c r="AA452" t="s">
        <v>7598</v>
      </c>
      <c r="AB452" t="s">
        <v>7599</v>
      </c>
      <c r="AC452" t="s">
        <v>74</v>
      </c>
      <c r="AD452" t="s">
        <v>74</v>
      </c>
      <c r="AE452" t="s">
        <v>74</v>
      </c>
      <c r="AF452" t="s">
        <v>74</v>
      </c>
      <c r="AG452">
        <v>26</v>
      </c>
      <c r="AH452">
        <v>25</v>
      </c>
      <c r="AI452">
        <v>30</v>
      </c>
      <c r="AJ452">
        <v>1</v>
      </c>
      <c r="AK452">
        <v>15</v>
      </c>
      <c r="AL452" t="s">
        <v>7600</v>
      </c>
      <c r="AM452" t="s">
        <v>7601</v>
      </c>
      <c r="AN452" t="s">
        <v>7602</v>
      </c>
      <c r="AO452" t="s">
        <v>7603</v>
      </c>
      <c r="AP452" t="s">
        <v>74</v>
      </c>
      <c r="AQ452" t="s">
        <v>74</v>
      </c>
      <c r="AR452" t="s">
        <v>7604</v>
      </c>
      <c r="AS452" t="s">
        <v>7605</v>
      </c>
      <c r="AT452" t="s">
        <v>74</v>
      </c>
      <c r="AU452">
        <v>2008</v>
      </c>
      <c r="AV452">
        <v>29</v>
      </c>
      <c r="AW452">
        <v>1</v>
      </c>
      <c r="AX452" t="s">
        <v>74</v>
      </c>
      <c r="AY452" t="s">
        <v>74</v>
      </c>
      <c r="AZ452" t="s">
        <v>74</v>
      </c>
      <c r="BA452" t="s">
        <v>74</v>
      </c>
      <c r="BB452">
        <v>17</v>
      </c>
      <c r="BC452">
        <v>32</v>
      </c>
      <c r="BD452" t="s">
        <v>74</v>
      </c>
      <c r="BE452" t="s">
        <v>74</v>
      </c>
      <c r="BF452" t="s">
        <v>74</v>
      </c>
      <c r="BG452" t="s">
        <v>74</v>
      </c>
      <c r="BH452" t="s">
        <v>74</v>
      </c>
      <c r="BI452">
        <v>16</v>
      </c>
      <c r="BJ452" t="s">
        <v>2602</v>
      </c>
      <c r="BK452" t="s">
        <v>97</v>
      </c>
      <c r="BL452" t="s">
        <v>2603</v>
      </c>
      <c r="BM452" t="s">
        <v>7606</v>
      </c>
      <c r="BN452" t="s">
        <v>74</v>
      </c>
      <c r="BO452" t="s">
        <v>74</v>
      </c>
      <c r="BP452" t="s">
        <v>74</v>
      </c>
      <c r="BQ452" t="s">
        <v>74</v>
      </c>
      <c r="BR452" t="s">
        <v>100</v>
      </c>
      <c r="BS452" t="s">
        <v>7607</v>
      </c>
      <c r="BT452" t="str">
        <f>HYPERLINK("https%3A%2F%2Fwww.webofscience.com%2Fwos%2Fwoscc%2Ffull-record%2FWOS:000256666300003","View Full Record in Web of Science")</f>
        <v>View Full Record in Web of Science</v>
      </c>
    </row>
    <row r="453" spans="1:72" x14ac:dyDescent="0.15">
      <c r="A453" t="s">
        <v>72</v>
      </c>
      <c r="B453" t="s">
        <v>7608</v>
      </c>
      <c r="C453" t="s">
        <v>74</v>
      </c>
      <c r="D453" t="s">
        <v>74</v>
      </c>
      <c r="E453" t="s">
        <v>74</v>
      </c>
      <c r="F453" t="s">
        <v>7609</v>
      </c>
      <c r="G453" t="s">
        <v>74</v>
      </c>
      <c r="H453" t="s">
        <v>74</v>
      </c>
      <c r="I453" t="s">
        <v>7610</v>
      </c>
      <c r="J453" t="s">
        <v>7590</v>
      </c>
      <c r="K453" t="s">
        <v>74</v>
      </c>
      <c r="L453" t="s">
        <v>74</v>
      </c>
      <c r="M453" t="s">
        <v>78</v>
      </c>
      <c r="N453" t="s">
        <v>79</v>
      </c>
      <c r="O453" t="s">
        <v>74</v>
      </c>
      <c r="P453" t="s">
        <v>74</v>
      </c>
      <c r="Q453" t="s">
        <v>74</v>
      </c>
      <c r="R453" t="s">
        <v>74</v>
      </c>
      <c r="S453" t="s">
        <v>74</v>
      </c>
      <c r="T453" t="s">
        <v>7611</v>
      </c>
      <c r="U453" t="s">
        <v>7612</v>
      </c>
      <c r="V453" t="s">
        <v>7613</v>
      </c>
      <c r="W453" t="s">
        <v>7614</v>
      </c>
      <c r="X453" t="s">
        <v>7615</v>
      </c>
      <c r="Y453" t="s">
        <v>7616</v>
      </c>
      <c r="Z453" t="s">
        <v>7617</v>
      </c>
      <c r="AA453" t="s">
        <v>74</v>
      </c>
      <c r="AB453" t="s">
        <v>7618</v>
      </c>
      <c r="AC453" t="s">
        <v>7619</v>
      </c>
      <c r="AD453" t="s">
        <v>7620</v>
      </c>
      <c r="AE453" t="s">
        <v>7621</v>
      </c>
      <c r="AF453" t="s">
        <v>74</v>
      </c>
      <c r="AG453">
        <v>41</v>
      </c>
      <c r="AH453">
        <v>17</v>
      </c>
      <c r="AI453">
        <v>18</v>
      </c>
      <c r="AJ453">
        <v>0</v>
      </c>
      <c r="AK453">
        <v>25</v>
      </c>
      <c r="AL453" t="s">
        <v>7622</v>
      </c>
      <c r="AM453" t="s">
        <v>7623</v>
      </c>
      <c r="AN453" t="s">
        <v>7624</v>
      </c>
      <c r="AO453" t="s">
        <v>7603</v>
      </c>
      <c r="AP453" t="s">
        <v>7625</v>
      </c>
      <c r="AQ453" t="s">
        <v>74</v>
      </c>
      <c r="AR453" t="s">
        <v>7604</v>
      </c>
      <c r="AS453" t="s">
        <v>7605</v>
      </c>
      <c r="AT453" t="s">
        <v>74</v>
      </c>
      <c r="AU453">
        <v>2008</v>
      </c>
      <c r="AV453">
        <v>29</v>
      </c>
      <c r="AW453">
        <v>3</v>
      </c>
      <c r="AX453" t="s">
        <v>74</v>
      </c>
      <c r="AY453" t="s">
        <v>74</v>
      </c>
      <c r="AZ453" t="s">
        <v>74</v>
      </c>
      <c r="BA453" t="s">
        <v>74</v>
      </c>
      <c r="BB453">
        <v>203</v>
      </c>
      <c r="BC453">
        <v>218</v>
      </c>
      <c r="BD453" t="s">
        <v>74</v>
      </c>
      <c r="BE453" t="s">
        <v>74</v>
      </c>
      <c r="BF453" t="s">
        <v>74</v>
      </c>
      <c r="BG453" t="s">
        <v>74</v>
      </c>
      <c r="BH453" t="s">
        <v>74</v>
      </c>
      <c r="BI453">
        <v>16</v>
      </c>
      <c r="BJ453" t="s">
        <v>2602</v>
      </c>
      <c r="BK453" t="s">
        <v>97</v>
      </c>
      <c r="BL453" t="s">
        <v>2603</v>
      </c>
      <c r="BM453" t="s">
        <v>7626</v>
      </c>
      <c r="BN453" t="s">
        <v>74</v>
      </c>
      <c r="BO453" t="s">
        <v>74</v>
      </c>
      <c r="BP453" t="s">
        <v>74</v>
      </c>
      <c r="BQ453" t="s">
        <v>74</v>
      </c>
      <c r="BR453" t="s">
        <v>100</v>
      </c>
      <c r="BS453" t="s">
        <v>7627</v>
      </c>
      <c r="BT453" t="str">
        <f>HYPERLINK("https%3A%2F%2Fwww.webofscience.com%2Fwos%2Fwoscc%2Ffull-record%2FWOS:000259841400001","View Full Record in Web of Science")</f>
        <v>View Full Record in Web of Science</v>
      </c>
    </row>
    <row r="454" spans="1:72" x14ac:dyDescent="0.15">
      <c r="A454" t="s">
        <v>72</v>
      </c>
      <c r="B454" t="s">
        <v>7628</v>
      </c>
      <c r="C454" t="s">
        <v>74</v>
      </c>
      <c r="D454" t="s">
        <v>74</v>
      </c>
      <c r="E454" t="s">
        <v>74</v>
      </c>
      <c r="F454" t="s">
        <v>7629</v>
      </c>
      <c r="G454" t="s">
        <v>74</v>
      </c>
      <c r="H454" t="s">
        <v>74</v>
      </c>
      <c r="I454" t="s">
        <v>7630</v>
      </c>
      <c r="J454" t="s">
        <v>7590</v>
      </c>
      <c r="K454" t="s">
        <v>74</v>
      </c>
      <c r="L454" t="s">
        <v>74</v>
      </c>
      <c r="M454" t="s">
        <v>78</v>
      </c>
      <c r="N454" t="s">
        <v>79</v>
      </c>
      <c r="O454" t="s">
        <v>74</v>
      </c>
      <c r="P454" t="s">
        <v>74</v>
      </c>
      <c r="Q454" t="s">
        <v>74</v>
      </c>
      <c r="R454" t="s">
        <v>74</v>
      </c>
      <c r="S454" t="s">
        <v>74</v>
      </c>
      <c r="T454" t="s">
        <v>7631</v>
      </c>
      <c r="U454" t="s">
        <v>7632</v>
      </c>
      <c r="V454" t="s">
        <v>7633</v>
      </c>
      <c r="W454" t="s">
        <v>7634</v>
      </c>
      <c r="X454" t="s">
        <v>7635</v>
      </c>
      <c r="Y454" t="s">
        <v>7636</v>
      </c>
      <c r="Z454" t="s">
        <v>7637</v>
      </c>
      <c r="AA454" t="s">
        <v>7638</v>
      </c>
      <c r="AB454" t="s">
        <v>7639</v>
      </c>
      <c r="AC454" t="s">
        <v>7640</v>
      </c>
      <c r="AD454" t="s">
        <v>7641</v>
      </c>
      <c r="AE454" t="s">
        <v>7642</v>
      </c>
      <c r="AF454" t="s">
        <v>74</v>
      </c>
      <c r="AG454">
        <v>24</v>
      </c>
      <c r="AH454">
        <v>8</v>
      </c>
      <c r="AI454">
        <v>9</v>
      </c>
      <c r="AJ454">
        <v>0</v>
      </c>
      <c r="AK454">
        <v>8</v>
      </c>
      <c r="AL454" t="s">
        <v>7622</v>
      </c>
      <c r="AM454" t="s">
        <v>7623</v>
      </c>
      <c r="AN454" t="s">
        <v>7624</v>
      </c>
      <c r="AO454" t="s">
        <v>7603</v>
      </c>
      <c r="AP454" t="s">
        <v>7625</v>
      </c>
      <c r="AQ454" t="s">
        <v>74</v>
      </c>
      <c r="AR454" t="s">
        <v>7604</v>
      </c>
      <c r="AS454" t="s">
        <v>7605</v>
      </c>
      <c r="AT454" t="s">
        <v>74</v>
      </c>
      <c r="AU454">
        <v>2008</v>
      </c>
      <c r="AV454">
        <v>29</v>
      </c>
      <c r="AW454">
        <v>4</v>
      </c>
      <c r="AX454" t="s">
        <v>74</v>
      </c>
      <c r="AY454" t="s">
        <v>74</v>
      </c>
      <c r="AZ454" t="s">
        <v>74</v>
      </c>
      <c r="BA454" t="s">
        <v>74</v>
      </c>
      <c r="BB454">
        <v>303</v>
      </c>
      <c r="BC454">
        <v>318</v>
      </c>
      <c r="BD454" t="s">
        <v>74</v>
      </c>
      <c r="BE454" t="s">
        <v>74</v>
      </c>
      <c r="BF454" t="s">
        <v>74</v>
      </c>
      <c r="BG454" t="s">
        <v>74</v>
      </c>
      <c r="BH454" t="s">
        <v>74</v>
      </c>
      <c r="BI454">
        <v>16</v>
      </c>
      <c r="BJ454" t="s">
        <v>2602</v>
      </c>
      <c r="BK454" t="s">
        <v>97</v>
      </c>
      <c r="BL454" t="s">
        <v>2603</v>
      </c>
      <c r="BM454" t="s">
        <v>7643</v>
      </c>
      <c r="BN454" t="s">
        <v>74</v>
      </c>
      <c r="BO454" t="s">
        <v>74</v>
      </c>
      <c r="BP454" t="s">
        <v>74</v>
      </c>
      <c r="BQ454" t="s">
        <v>74</v>
      </c>
      <c r="BR454" t="s">
        <v>100</v>
      </c>
      <c r="BS454" t="s">
        <v>7644</v>
      </c>
      <c r="BT454" t="str">
        <f>HYPERLINK("https%3A%2F%2Fwww.webofscience.com%2Fwos%2Fwoscc%2Ffull-record%2FWOS:000262041600001","View Full Record in Web of Science")</f>
        <v>View Full Record in Web of Science</v>
      </c>
    </row>
    <row r="455" spans="1:72" x14ac:dyDescent="0.15">
      <c r="A455" t="s">
        <v>72</v>
      </c>
      <c r="B455" t="s">
        <v>7645</v>
      </c>
      <c r="C455" t="s">
        <v>74</v>
      </c>
      <c r="D455" t="s">
        <v>74</v>
      </c>
      <c r="E455" t="s">
        <v>74</v>
      </c>
      <c r="F455" t="s">
        <v>7646</v>
      </c>
      <c r="G455" t="s">
        <v>74</v>
      </c>
      <c r="H455" t="s">
        <v>74</v>
      </c>
      <c r="I455" t="s">
        <v>7647</v>
      </c>
      <c r="J455" t="s">
        <v>7590</v>
      </c>
      <c r="K455" t="s">
        <v>74</v>
      </c>
      <c r="L455" t="s">
        <v>74</v>
      </c>
      <c r="M455" t="s">
        <v>78</v>
      </c>
      <c r="N455" t="s">
        <v>79</v>
      </c>
      <c r="O455" t="s">
        <v>74</v>
      </c>
      <c r="P455" t="s">
        <v>74</v>
      </c>
      <c r="Q455" t="s">
        <v>74</v>
      </c>
      <c r="R455" t="s">
        <v>74</v>
      </c>
      <c r="S455" t="s">
        <v>74</v>
      </c>
      <c r="T455" t="s">
        <v>7648</v>
      </c>
      <c r="U455" t="s">
        <v>7649</v>
      </c>
      <c r="V455" t="s">
        <v>7650</v>
      </c>
      <c r="W455" t="s">
        <v>7651</v>
      </c>
      <c r="X455" t="s">
        <v>7652</v>
      </c>
      <c r="Y455" t="s">
        <v>7653</v>
      </c>
      <c r="Z455" t="s">
        <v>7654</v>
      </c>
      <c r="AA455" t="s">
        <v>7655</v>
      </c>
      <c r="AB455" t="s">
        <v>7656</v>
      </c>
      <c r="AC455" t="s">
        <v>7657</v>
      </c>
      <c r="AD455" t="s">
        <v>74</v>
      </c>
      <c r="AE455" t="s">
        <v>7658</v>
      </c>
      <c r="AF455" t="s">
        <v>74</v>
      </c>
      <c r="AG455">
        <v>21</v>
      </c>
      <c r="AH455">
        <v>13</v>
      </c>
      <c r="AI455">
        <v>14</v>
      </c>
      <c r="AJ455">
        <v>0</v>
      </c>
      <c r="AK455">
        <v>7</v>
      </c>
      <c r="AL455" t="s">
        <v>7659</v>
      </c>
      <c r="AM455" t="s">
        <v>7601</v>
      </c>
      <c r="AN455" t="s">
        <v>7660</v>
      </c>
      <c r="AO455" t="s">
        <v>7603</v>
      </c>
      <c r="AP455" t="s">
        <v>74</v>
      </c>
      <c r="AQ455" t="s">
        <v>74</v>
      </c>
      <c r="AR455" t="s">
        <v>7604</v>
      </c>
      <c r="AS455" t="s">
        <v>7605</v>
      </c>
      <c r="AT455" t="s">
        <v>74</v>
      </c>
      <c r="AU455">
        <v>2008</v>
      </c>
      <c r="AV455">
        <v>29</v>
      </c>
      <c r="AW455">
        <v>4</v>
      </c>
      <c r="AX455" t="s">
        <v>74</v>
      </c>
      <c r="AY455" t="s">
        <v>74</v>
      </c>
      <c r="AZ455" t="s">
        <v>74</v>
      </c>
      <c r="BA455" t="s">
        <v>74</v>
      </c>
      <c r="BB455">
        <v>377</v>
      </c>
      <c r="BC455">
        <v>386</v>
      </c>
      <c r="BD455" t="s">
        <v>74</v>
      </c>
      <c r="BE455" t="s">
        <v>74</v>
      </c>
      <c r="BF455" t="s">
        <v>74</v>
      </c>
      <c r="BG455" t="s">
        <v>74</v>
      </c>
      <c r="BH455" t="s">
        <v>74</v>
      </c>
      <c r="BI455">
        <v>10</v>
      </c>
      <c r="BJ455" t="s">
        <v>2602</v>
      </c>
      <c r="BK455" t="s">
        <v>97</v>
      </c>
      <c r="BL455" t="s">
        <v>2603</v>
      </c>
      <c r="BM455" t="s">
        <v>7643</v>
      </c>
      <c r="BN455" t="s">
        <v>74</v>
      </c>
      <c r="BO455" t="s">
        <v>74</v>
      </c>
      <c r="BP455" t="s">
        <v>74</v>
      </c>
      <c r="BQ455" t="s">
        <v>74</v>
      </c>
      <c r="BR455" t="s">
        <v>100</v>
      </c>
      <c r="BS455" t="s">
        <v>7661</v>
      </c>
      <c r="BT455" t="str">
        <f>HYPERLINK("https%3A%2F%2Fwww.webofscience.com%2Fwos%2Fwoscc%2Ffull-record%2FWOS:000262041600004","View Full Record in Web of Science")</f>
        <v>View Full Record in Web of Science</v>
      </c>
    </row>
    <row r="456" spans="1:72" x14ac:dyDescent="0.15">
      <c r="A456" t="s">
        <v>816</v>
      </c>
      <c r="B456" t="s">
        <v>7662</v>
      </c>
      <c r="C456" t="s">
        <v>74</v>
      </c>
      <c r="D456" t="s">
        <v>7663</v>
      </c>
      <c r="E456" t="s">
        <v>74</v>
      </c>
      <c r="F456" t="s">
        <v>7664</v>
      </c>
      <c r="G456" t="s">
        <v>74</v>
      </c>
      <c r="H456" t="s">
        <v>74</v>
      </c>
      <c r="I456" t="s">
        <v>7665</v>
      </c>
      <c r="J456" t="s">
        <v>7666</v>
      </c>
      <c r="K456" t="s">
        <v>7667</v>
      </c>
      <c r="L456" t="s">
        <v>74</v>
      </c>
      <c r="M456" t="s">
        <v>78</v>
      </c>
      <c r="N456" t="s">
        <v>823</v>
      </c>
      <c r="O456" t="s">
        <v>7668</v>
      </c>
      <c r="P456" t="s">
        <v>7669</v>
      </c>
      <c r="Q456" t="s">
        <v>7670</v>
      </c>
      <c r="R456" t="s">
        <v>74</v>
      </c>
      <c r="S456" t="s">
        <v>74</v>
      </c>
      <c r="T456" t="s">
        <v>74</v>
      </c>
      <c r="U456" t="s">
        <v>74</v>
      </c>
      <c r="V456" t="s">
        <v>74</v>
      </c>
      <c r="W456" t="s">
        <v>7671</v>
      </c>
      <c r="X456" t="s">
        <v>7672</v>
      </c>
      <c r="Y456" t="s">
        <v>7673</v>
      </c>
      <c r="Z456" t="s">
        <v>7674</v>
      </c>
      <c r="AA456" t="s">
        <v>74</v>
      </c>
      <c r="AB456" t="s">
        <v>74</v>
      </c>
      <c r="AC456" t="s">
        <v>74</v>
      </c>
      <c r="AD456" t="s">
        <v>74</v>
      </c>
      <c r="AE456" t="s">
        <v>74</v>
      </c>
      <c r="AF456" t="s">
        <v>74</v>
      </c>
      <c r="AG456">
        <v>4</v>
      </c>
      <c r="AH456">
        <v>0</v>
      </c>
      <c r="AI456">
        <v>0</v>
      </c>
      <c r="AJ456">
        <v>0</v>
      </c>
      <c r="AK456">
        <v>0</v>
      </c>
      <c r="AL456" t="s">
        <v>5031</v>
      </c>
      <c r="AM456" t="s">
        <v>5032</v>
      </c>
      <c r="AN456" t="s">
        <v>5033</v>
      </c>
      <c r="AO456" t="s">
        <v>74</v>
      </c>
      <c r="AP456" t="s">
        <v>74</v>
      </c>
      <c r="AQ456" t="s">
        <v>7675</v>
      </c>
      <c r="AR456" t="s">
        <v>7676</v>
      </c>
      <c r="AS456" t="s">
        <v>74</v>
      </c>
      <c r="AT456" t="s">
        <v>74</v>
      </c>
      <c r="AU456">
        <v>2008</v>
      </c>
      <c r="AV456" t="s">
        <v>74</v>
      </c>
      <c r="AW456" t="s">
        <v>74</v>
      </c>
      <c r="AX456" t="s">
        <v>74</v>
      </c>
      <c r="AY456" t="s">
        <v>74</v>
      </c>
      <c r="AZ456" t="s">
        <v>74</v>
      </c>
      <c r="BA456" t="s">
        <v>74</v>
      </c>
      <c r="BB456">
        <v>537</v>
      </c>
      <c r="BC456" t="s">
        <v>865</v>
      </c>
      <c r="BD456" t="s">
        <v>74</v>
      </c>
      <c r="BE456" t="s">
        <v>7677</v>
      </c>
      <c r="BF456" t="str">
        <f>HYPERLINK("http://dx.doi.org/10.1007/978-3-540-74256-2_81","http://dx.doi.org/10.1007/978-3-540-74256-2_81")</f>
        <v>http://dx.doi.org/10.1007/978-3-540-74256-2_81</v>
      </c>
      <c r="BG456" t="s">
        <v>74</v>
      </c>
      <c r="BH456" t="s">
        <v>74</v>
      </c>
      <c r="BI456">
        <v>2</v>
      </c>
      <c r="BJ456" t="s">
        <v>7678</v>
      </c>
      <c r="BK456" t="s">
        <v>842</v>
      </c>
      <c r="BL456" t="s">
        <v>7678</v>
      </c>
      <c r="BM456" t="s">
        <v>7679</v>
      </c>
      <c r="BN456" t="s">
        <v>74</v>
      </c>
      <c r="BO456" t="s">
        <v>74</v>
      </c>
      <c r="BP456" t="s">
        <v>74</v>
      </c>
      <c r="BQ456" t="s">
        <v>74</v>
      </c>
      <c r="BR456" t="s">
        <v>100</v>
      </c>
      <c r="BS456" t="s">
        <v>7680</v>
      </c>
      <c r="BT456" t="str">
        <f>HYPERLINK("https%3A%2F%2Fwww.webofscience.com%2Fwos%2Fwoscc%2Ffull-record%2FWOS:000251420400081","View Full Record in Web of Science")</f>
        <v>View Full Record in Web of Science</v>
      </c>
    </row>
    <row r="457" spans="1:72" x14ac:dyDescent="0.15">
      <c r="A457" t="s">
        <v>816</v>
      </c>
      <c r="B457" t="s">
        <v>7681</v>
      </c>
      <c r="C457" t="s">
        <v>74</v>
      </c>
      <c r="D457" t="s">
        <v>7663</v>
      </c>
      <c r="E457" t="s">
        <v>74</v>
      </c>
      <c r="F457" t="s">
        <v>7682</v>
      </c>
      <c r="G457" t="s">
        <v>74</v>
      </c>
      <c r="H457" t="s">
        <v>74</v>
      </c>
      <c r="I457" t="s">
        <v>7683</v>
      </c>
      <c r="J457" t="s">
        <v>7666</v>
      </c>
      <c r="K457" t="s">
        <v>7667</v>
      </c>
      <c r="L457" t="s">
        <v>74</v>
      </c>
      <c r="M457" t="s">
        <v>78</v>
      </c>
      <c r="N457" t="s">
        <v>823</v>
      </c>
      <c r="O457" t="s">
        <v>7668</v>
      </c>
      <c r="P457" t="s">
        <v>7669</v>
      </c>
      <c r="Q457" t="s">
        <v>7670</v>
      </c>
      <c r="R457" t="s">
        <v>74</v>
      </c>
      <c r="S457" t="s">
        <v>74</v>
      </c>
      <c r="T457" t="s">
        <v>74</v>
      </c>
      <c r="U457" t="s">
        <v>4117</v>
      </c>
      <c r="V457" t="s">
        <v>7684</v>
      </c>
      <c r="W457" t="s">
        <v>7685</v>
      </c>
      <c r="X457" t="s">
        <v>7686</v>
      </c>
      <c r="Y457" t="s">
        <v>7687</v>
      </c>
      <c r="Z457" t="s">
        <v>7688</v>
      </c>
      <c r="AA457" t="s">
        <v>74</v>
      </c>
      <c r="AB457" t="s">
        <v>74</v>
      </c>
      <c r="AC457" t="s">
        <v>74</v>
      </c>
      <c r="AD457" t="s">
        <v>74</v>
      </c>
      <c r="AE457" t="s">
        <v>74</v>
      </c>
      <c r="AF457" t="s">
        <v>74</v>
      </c>
      <c r="AG457">
        <v>5</v>
      </c>
      <c r="AH457">
        <v>0</v>
      </c>
      <c r="AI457">
        <v>0</v>
      </c>
      <c r="AJ457">
        <v>0</v>
      </c>
      <c r="AK457">
        <v>0</v>
      </c>
      <c r="AL457" t="s">
        <v>5031</v>
      </c>
      <c r="AM457" t="s">
        <v>5032</v>
      </c>
      <c r="AN457" t="s">
        <v>5033</v>
      </c>
      <c r="AO457" t="s">
        <v>74</v>
      </c>
      <c r="AP457" t="s">
        <v>74</v>
      </c>
      <c r="AQ457" t="s">
        <v>7675</v>
      </c>
      <c r="AR457" t="s">
        <v>7676</v>
      </c>
      <c r="AS457" t="s">
        <v>74</v>
      </c>
      <c r="AT457" t="s">
        <v>74</v>
      </c>
      <c r="AU457">
        <v>2008</v>
      </c>
      <c r="AV457" t="s">
        <v>74</v>
      </c>
      <c r="AW457" t="s">
        <v>74</v>
      </c>
      <c r="AX457" t="s">
        <v>74</v>
      </c>
      <c r="AY457" t="s">
        <v>74</v>
      </c>
      <c r="AZ457" t="s">
        <v>74</v>
      </c>
      <c r="BA457" t="s">
        <v>74</v>
      </c>
      <c r="BB457">
        <v>543</v>
      </c>
      <c r="BC457" t="s">
        <v>865</v>
      </c>
      <c r="BD457" t="s">
        <v>74</v>
      </c>
      <c r="BE457" t="s">
        <v>74</v>
      </c>
      <c r="BF457" t="s">
        <v>74</v>
      </c>
      <c r="BG457" t="s">
        <v>74</v>
      </c>
      <c r="BH457" t="s">
        <v>74</v>
      </c>
      <c r="BI457">
        <v>2</v>
      </c>
      <c r="BJ457" t="s">
        <v>7678</v>
      </c>
      <c r="BK457" t="s">
        <v>842</v>
      </c>
      <c r="BL457" t="s">
        <v>7678</v>
      </c>
      <c r="BM457" t="s">
        <v>7679</v>
      </c>
      <c r="BN457" t="s">
        <v>74</v>
      </c>
      <c r="BO457" t="s">
        <v>74</v>
      </c>
      <c r="BP457" t="s">
        <v>74</v>
      </c>
      <c r="BQ457" t="s">
        <v>74</v>
      </c>
      <c r="BR457" t="s">
        <v>100</v>
      </c>
      <c r="BS457" t="s">
        <v>7689</v>
      </c>
      <c r="BT457" t="str">
        <f>HYPERLINK("https%3A%2F%2Fwww.webofscience.com%2Fwos%2Fwoscc%2Ffull-record%2FWOS:000251420400083","View Full Record in Web of Science")</f>
        <v>View Full Record in Web of Science</v>
      </c>
    </row>
    <row r="458" spans="1:72" x14ac:dyDescent="0.15">
      <c r="A458" t="s">
        <v>816</v>
      </c>
      <c r="B458" t="s">
        <v>7690</v>
      </c>
      <c r="C458" t="s">
        <v>74</v>
      </c>
      <c r="D458" t="s">
        <v>7691</v>
      </c>
      <c r="E458" t="s">
        <v>74</v>
      </c>
      <c r="F458" t="s">
        <v>7692</v>
      </c>
      <c r="G458" t="s">
        <v>74</v>
      </c>
      <c r="H458" t="s">
        <v>74</v>
      </c>
      <c r="I458" t="s">
        <v>7693</v>
      </c>
      <c r="J458" t="s">
        <v>7694</v>
      </c>
      <c r="K458" t="s">
        <v>7695</v>
      </c>
      <c r="L458" t="s">
        <v>74</v>
      </c>
      <c r="M458" t="s">
        <v>78</v>
      </c>
      <c r="N458" t="s">
        <v>823</v>
      </c>
      <c r="O458" t="s">
        <v>7696</v>
      </c>
      <c r="P458" t="s">
        <v>7697</v>
      </c>
      <c r="Q458" t="s">
        <v>7698</v>
      </c>
      <c r="R458" t="s">
        <v>74</v>
      </c>
      <c r="S458" t="s">
        <v>74</v>
      </c>
      <c r="T458" t="s">
        <v>7699</v>
      </c>
      <c r="U458" t="s">
        <v>74</v>
      </c>
      <c r="V458" t="s">
        <v>7700</v>
      </c>
      <c r="W458" t="s">
        <v>7701</v>
      </c>
      <c r="X458" t="s">
        <v>74</v>
      </c>
      <c r="Y458" t="s">
        <v>7702</v>
      </c>
      <c r="Z458" t="s">
        <v>74</v>
      </c>
      <c r="AA458" t="s">
        <v>74</v>
      </c>
      <c r="AB458" t="s">
        <v>74</v>
      </c>
      <c r="AC458" t="s">
        <v>74</v>
      </c>
      <c r="AD458" t="s">
        <v>74</v>
      </c>
      <c r="AE458" t="s">
        <v>74</v>
      </c>
      <c r="AF458" t="s">
        <v>74</v>
      </c>
      <c r="AG458">
        <v>12</v>
      </c>
      <c r="AH458">
        <v>3</v>
      </c>
      <c r="AI458">
        <v>3</v>
      </c>
      <c r="AJ458">
        <v>0</v>
      </c>
      <c r="AK458">
        <v>0</v>
      </c>
      <c r="AL458" t="s">
        <v>7703</v>
      </c>
      <c r="AM458" t="s">
        <v>7704</v>
      </c>
      <c r="AN458" t="s">
        <v>7705</v>
      </c>
      <c r="AO458" t="s">
        <v>7706</v>
      </c>
      <c r="AP458" t="s">
        <v>74</v>
      </c>
      <c r="AQ458" t="s">
        <v>7707</v>
      </c>
      <c r="AR458" t="s">
        <v>7708</v>
      </c>
      <c r="AS458" t="s">
        <v>74</v>
      </c>
      <c r="AT458" t="s">
        <v>74</v>
      </c>
      <c r="AU458">
        <v>2008</v>
      </c>
      <c r="AV458" t="s">
        <v>74</v>
      </c>
      <c r="AW458" t="s">
        <v>74</v>
      </c>
      <c r="AX458" t="s">
        <v>74</v>
      </c>
      <c r="AY458" t="s">
        <v>74</v>
      </c>
      <c r="AZ458" t="s">
        <v>74</v>
      </c>
      <c r="BA458" t="s">
        <v>74</v>
      </c>
      <c r="BB458">
        <v>623</v>
      </c>
      <c r="BC458" t="s">
        <v>865</v>
      </c>
      <c r="BD458" t="s">
        <v>74</v>
      </c>
      <c r="BE458" t="s">
        <v>74</v>
      </c>
      <c r="BF458" t="s">
        <v>74</v>
      </c>
      <c r="BG458" t="s">
        <v>74</v>
      </c>
      <c r="BH458" t="s">
        <v>74</v>
      </c>
      <c r="BI458">
        <v>2</v>
      </c>
      <c r="BJ458" t="s">
        <v>7709</v>
      </c>
      <c r="BK458" t="s">
        <v>842</v>
      </c>
      <c r="BL458" t="s">
        <v>1322</v>
      </c>
      <c r="BM458" t="s">
        <v>7710</v>
      </c>
      <c r="BN458" t="s">
        <v>74</v>
      </c>
      <c r="BO458" t="s">
        <v>74</v>
      </c>
      <c r="BP458" t="s">
        <v>74</v>
      </c>
      <c r="BQ458" t="s">
        <v>74</v>
      </c>
      <c r="BR458" t="s">
        <v>100</v>
      </c>
      <c r="BS458" t="s">
        <v>7711</v>
      </c>
      <c r="BT458" t="str">
        <f>HYPERLINK("https%3A%2F%2Fwww.webofscience.com%2Fwos%2Fwoscc%2Ffull-record%2FWOS:000259888200094","View Full Record in Web of Science")</f>
        <v>View Full Record in Web of Science</v>
      </c>
    </row>
    <row r="459" spans="1:72" x14ac:dyDescent="0.15">
      <c r="A459" t="s">
        <v>72</v>
      </c>
      <c r="B459" t="s">
        <v>7712</v>
      </c>
      <c r="C459" t="s">
        <v>74</v>
      </c>
      <c r="D459" t="s">
        <v>74</v>
      </c>
      <c r="E459" t="s">
        <v>74</v>
      </c>
      <c r="F459" t="s">
        <v>7713</v>
      </c>
      <c r="G459" t="s">
        <v>74</v>
      </c>
      <c r="H459" t="s">
        <v>74</v>
      </c>
      <c r="I459" t="s">
        <v>7714</v>
      </c>
      <c r="J459" t="s">
        <v>7715</v>
      </c>
      <c r="K459" t="s">
        <v>74</v>
      </c>
      <c r="L459" t="s">
        <v>74</v>
      </c>
      <c r="M459" t="s">
        <v>78</v>
      </c>
      <c r="N459" t="s">
        <v>79</v>
      </c>
      <c r="O459" t="s">
        <v>74</v>
      </c>
      <c r="P459" t="s">
        <v>74</v>
      </c>
      <c r="Q459" t="s">
        <v>74</v>
      </c>
      <c r="R459" t="s">
        <v>74</v>
      </c>
      <c r="S459" t="s">
        <v>74</v>
      </c>
      <c r="T459" t="s">
        <v>7716</v>
      </c>
      <c r="U459" t="s">
        <v>74</v>
      </c>
      <c r="V459" t="s">
        <v>7717</v>
      </c>
      <c r="W459" t="s">
        <v>7718</v>
      </c>
      <c r="X459" t="s">
        <v>7719</v>
      </c>
      <c r="Y459" t="s">
        <v>7720</v>
      </c>
      <c r="Z459" t="s">
        <v>7721</v>
      </c>
      <c r="AA459" t="s">
        <v>74</v>
      </c>
      <c r="AB459" t="s">
        <v>74</v>
      </c>
      <c r="AC459" t="s">
        <v>74</v>
      </c>
      <c r="AD459" t="s">
        <v>74</v>
      </c>
      <c r="AE459" t="s">
        <v>74</v>
      </c>
      <c r="AF459" t="s">
        <v>74</v>
      </c>
      <c r="AG459">
        <v>15</v>
      </c>
      <c r="AH459">
        <v>22</v>
      </c>
      <c r="AI459">
        <v>24</v>
      </c>
      <c r="AJ459">
        <v>6</v>
      </c>
      <c r="AK459">
        <v>45</v>
      </c>
      <c r="AL459" t="s">
        <v>7722</v>
      </c>
      <c r="AM459" t="s">
        <v>7723</v>
      </c>
      <c r="AN459" t="s">
        <v>7724</v>
      </c>
      <c r="AO459" t="s">
        <v>7725</v>
      </c>
      <c r="AP459" t="s">
        <v>74</v>
      </c>
      <c r="AQ459" t="s">
        <v>74</v>
      </c>
      <c r="AR459" t="s">
        <v>7726</v>
      </c>
      <c r="AS459" t="s">
        <v>7727</v>
      </c>
      <c r="AT459" t="s">
        <v>74</v>
      </c>
      <c r="AU459">
        <v>2008</v>
      </c>
      <c r="AV459">
        <v>222</v>
      </c>
      <c r="AW459" t="s">
        <v>7728</v>
      </c>
      <c r="AX459" t="s">
        <v>74</v>
      </c>
      <c r="AY459" t="s">
        <v>74</v>
      </c>
      <c r="AZ459" t="s">
        <v>5368</v>
      </c>
      <c r="BA459" t="s">
        <v>74</v>
      </c>
      <c r="BB459">
        <v>53</v>
      </c>
      <c r="BC459">
        <v>66</v>
      </c>
      <c r="BD459" t="s">
        <v>74</v>
      </c>
      <c r="BE459" t="s">
        <v>7729</v>
      </c>
      <c r="BF459" t="str">
        <f>HYPERLINK("http://dx.doi.org/10.1243/14750902JEME81","http://dx.doi.org/10.1243/14750902JEME81")</f>
        <v>http://dx.doi.org/10.1243/14750902JEME81</v>
      </c>
      <c r="BG459" t="s">
        <v>74</v>
      </c>
      <c r="BH459" t="s">
        <v>74</v>
      </c>
      <c r="BI459">
        <v>14</v>
      </c>
      <c r="BJ459" t="s">
        <v>7730</v>
      </c>
      <c r="BK459" t="s">
        <v>97</v>
      </c>
      <c r="BL459" t="s">
        <v>890</v>
      </c>
      <c r="BM459" t="s">
        <v>7731</v>
      </c>
      <c r="BN459" t="s">
        <v>74</v>
      </c>
      <c r="BO459" t="s">
        <v>74</v>
      </c>
      <c r="BP459" t="s">
        <v>74</v>
      </c>
      <c r="BQ459" t="s">
        <v>74</v>
      </c>
      <c r="BR459" t="s">
        <v>100</v>
      </c>
      <c r="BS459" t="s">
        <v>7732</v>
      </c>
      <c r="BT459" t="str">
        <f>HYPERLINK("https%3A%2F%2Fwww.webofscience.com%2Fwos%2Fwoscc%2Ffull-record%2FWOS:000207603000003","View Full Record in Web of Science")</f>
        <v>View Full Record in Web of Science</v>
      </c>
    </row>
    <row r="460" spans="1:72" x14ac:dyDescent="0.15">
      <c r="A460" t="s">
        <v>816</v>
      </c>
      <c r="B460" t="s">
        <v>7733</v>
      </c>
      <c r="C460" t="s">
        <v>74</v>
      </c>
      <c r="D460" t="s">
        <v>7734</v>
      </c>
      <c r="E460" t="s">
        <v>74</v>
      </c>
      <c r="F460" t="s">
        <v>7735</v>
      </c>
      <c r="G460" t="s">
        <v>74</v>
      </c>
      <c r="H460" t="s">
        <v>74</v>
      </c>
      <c r="I460" t="s">
        <v>7736</v>
      </c>
      <c r="J460" t="s">
        <v>7737</v>
      </c>
      <c r="K460" t="s">
        <v>7738</v>
      </c>
      <c r="L460" t="s">
        <v>74</v>
      </c>
      <c r="M460" t="s">
        <v>78</v>
      </c>
      <c r="N460" t="s">
        <v>823</v>
      </c>
      <c r="O460" t="s">
        <v>7739</v>
      </c>
      <c r="P460" t="s">
        <v>7740</v>
      </c>
      <c r="Q460" t="s">
        <v>7741</v>
      </c>
      <c r="R460" t="s">
        <v>74</v>
      </c>
      <c r="S460" t="s">
        <v>74</v>
      </c>
      <c r="T460" t="s">
        <v>7742</v>
      </c>
      <c r="U460" t="s">
        <v>74</v>
      </c>
      <c r="V460" t="s">
        <v>7743</v>
      </c>
      <c r="W460" t="s">
        <v>7744</v>
      </c>
      <c r="X460" t="s">
        <v>7745</v>
      </c>
      <c r="Y460" t="s">
        <v>7746</v>
      </c>
      <c r="Z460" t="s">
        <v>74</v>
      </c>
      <c r="AA460" t="s">
        <v>7747</v>
      </c>
      <c r="AB460" t="s">
        <v>7748</v>
      </c>
      <c r="AC460" t="s">
        <v>7749</v>
      </c>
      <c r="AD460" t="s">
        <v>7749</v>
      </c>
      <c r="AE460" t="s">
        <v>7750</v>
      </c>
      <c r="AF460" t="s">
        <v>74</v>
      </c>
      <c r="AG460">
        <v>14</v>
      </c>
      <c r="AH460">
        <v>1</v>
      </c>
      <c r="AI460">
        <v>1</v>
      </c>
      <c r="AJ460">
        <v>1</v>
      </c>
      <c r="AK460">
        <v>5</v>
      </c>
      <c r="AL460" t="s">
        <v>7751</v>
      </c>
      <c r="AM460" t="s">
        <v>7752</v>
      </c>
      <c r="AN460" t="s">
        <v>7753</v>
      </c>
      <c r="AO460" t="s">
        <v>7754</v>
      </c>
      <c r="AP460" t="s">
        <v>7755</v>
      </c>
      <c r="AQ460" t="s">
        <v>7756</v>
      </c>
      <c r="AR460" t="s">
        <v>7757</v>
      </c>
      <c r="AS460" t="s">
        <v>74</v>
      </c>
      <c r="AT460" t="s">
        <v>74</v>
      </c>
      <c r="AU460">
        <v>2008</v>
      </c>
      <c r="AV460" t="s">
        <v>74</v>
      </c>
      <c r="AW460">
        <v>801</v>
      </c>
      <c r="AX460" t="s">
        <v>74</v>
      </c>
      <c r="AY460" t="s">
        <v>74</v>
      </c>
      <c r="AZ460" t="s">
        <v>74</v>
      </c>
      <c r="BA460" t="s">
        <v>74</v>
      </c>
      <c r="BB460">
        <v>417</v>
      </c>
      <c r="BC460" t="s">
        <v>865</v>
      </c>
      <c r="BD460" t="s">
        <v>74</v>
      </c>
      <c r="BE460" t="s">
        <v>7758</v>
      </c>
      <c r="BF460" t="str">
        <f>HYPERLINK("http://dx.doi.org/10.17660/ActaHortic.2008.801.44","http://dx.doi.org/10.17660/ActaHortic.2008.801.44")</f>
        <v>http://dx.doi.org/10.17660/ActaHortic.2008.801.44</v>
      </c>
      <c r="BG460" t="s">
        <v>74</v>
      </c>
      <c r="BH460" t="s">
        <v>74</v>
      </c>
      <c r="BI460">
        <v>3</v>
      </c>
      <c r="BJ460" t="s">
        <v>7759</v>
      </c>
      <c r="BK460" t="s">
        <v>842</v>
      </c>
      <c r="BL460" t="s">
        <v>7760</v>
      </c>
      <c r="BM460" t="s">
        <v>7761</v>
      </c>
      <c r="BN460" t="s">
        <v>74</v>
      </c>
      <c r="BO460" t="s">
        <v>74</v>
      </c>
      <c r="BP460" t="s">
        <v>74</v>
      </c>
      <c r="BQ460" t="s">
        <v>74</v>
      </c>
      <c r="BR460" t="s">
        <v>100</v>
      </c>
      <c r="BS460" t="s">
        <v>7762</v>
      </c>
      <c r="BT460" t="str">
        <f>HYPERLINK("https%3A%2F%2Fwww.webofscience.com%2Fwos%2Fwoscc%2Ffull-record%2FWOS:000263190000044","View Full Record in Web of Science")</f>
        <v>View Full Record in Web of Science</v>
      </c>
    </row>
    <row r="461" spans="1:72" x14ac:dyDescent="0.15">
      <c r="A461" t="s">
        <v>816</v>
      </c>
      <c r="B461" t="s">
        <v>7763</v>
      </c>
      <c r="C461" t="s">
        <v>74</v>
      </c>
      <c r="D461" t="s">
        <v>7764</v>
      </c>
      <c r="E461" t="s">
        <v>74</v>
      </c>
      <c r="F461" t="s">
        <v>7765</v>
      </c>
      <c r="G461" t="s">
        <v>74</v>
      </c>
      <c r="H461" t="s">
        <v>7766</v>
      </c>
      <c r="I461" t="s">
        <v>7767</v>
      </c>
      <c r="J461" t="s">
        <v>7768</v>
      </c>
      <c r="K461" t="s">
        <v>7769</v>
      </c>
      <c r="L461" t="s">
        <v>74</v>
      </c>
      <c r="M461" t="s">
        <v>78</v>
      </c>
      <c r="N461" t="s">
        <v>823</v>
      </c>
      <c r="O461" t="s">
        <v>7770</v>
      </c>
      <c r="P461" t="s">
        <v>7771</v>
      </c>
      <c r="Q461" t="s">
        <v>7772</v>
      </c>
      <c r="R461" t="s">
        <v>74</v>
      </c>
      <c r="S461" t="s">
        <v>74</v>
      </c>
      <c r="T461" t="s">
        <v>74</v>
      </c>
      <c r="U461" t="s">
        <v>7773</v>
      </c>
      <c r="V461" t="s">
        <v>7774</v>
      </c>
      <c r="W461" t="s">
        <v>7775</v>
      </c>
      <c r="X461" t="s">
        <v>7776</v>
      </c>
      <c r="Y461" t="s">
        <v>7777</v>
      </c>
      <c r="Z461" t="s">
        <v>7778</v>
      </c>
      <c r="AA461" t="s">
        <v>74</v>
      </c>
      <c r="AB461" t="s">
        <v>7779</v>
      </c>
      <c r="AC461" t="s">
        <v>74</v>
      </c>
      <c r="AD461" t="s">
        <v>74</v>
      </c>
      <c r="AE461" t="s">
        <v>74</v>
      </c>
      <c r="AF461" t="s">
        <v>74</v>
      </c>
      <c r="AG461">
        <v>21</v>
      </c>
      <c r="AH461">
        <v>8</v>
      </c>
      <c r="AI461">
        <v>8</v>
      </c>
      <c r="AJ461">
        <v>0</v>
      </c>
      <c r="AK461">
        <v>0</v>
      </c>
      <c r="AL461" t="s">
        <v>834</v>
      </c>
      <c r="AM461" t="s">
        <v>835</v>
      </c>
      <c r="AN461" t="s">
        <v>836</v>
      </c>
      <c r="AO461" t="s">
        <v>7780</v>
      </c>
      <c r="AP461" t="s">
        <v>74</v>
      </c>
      <c r="AQ461" t="s">
        <v>74</v>
      </c>
      <c r="AR461" t="s">
        <v>7781</v>
      </c>
      <c r="AS461" t="s">
        <v>74</v>
      </c>
      <c r="AT461" t="s">
        <v>74</v>
      </c>
      <c r="AU461">
        <v>2008</v>
      </c>
      <c r="AV461">
        <v>118</v>
      </c>
      <c r="AW461" t="s">
        <v>74</v>
      </c>
      <c r="AX461" t="s">
        <v>74</v>
      </c>
      <c r="AY461" t="s">
        <v>74</v>
      </c>
      <c r="AZ461" t="s">
        <v>74</v>
      </c>
      <c r="BA461" t="s">
        <v>74</v>
      </c>
      <c r="BB461" t="s">
        <v>74</v>
      </c>
      <c r="BC461" t="s">
        <v>74</v>
      </c>
      <c r="BD461">
        <v>12042</v>
      </c>
      <c r="BE461" t="s">
        <v>7782</v>
      </c>
      <c r="BF461" t="str">
        <f>HYPERLINK("http://dx.doi.org/10.1088/1742-6596/118/1/012042","http://dx.doi.org/10.1088/1742-6596/118/1/012042")</f>
        <v>http://dx.doi.org/10.1088/1742-6596/118/1/012042</v>
      </c>
      <c r="BG461" t="s">
        <v>74</v>
      </c>
      <c r="BH461" t="s">
        <v>74</v>
      </c>
      <c r="BI461">
        <v>6</v>
      </c>
      <c r="BJ461" t="s">
        <v>7783</v>
      </c>
      <c r="BK461" t="s">
        <v>842</v>
      </c>
      <c r="BL461" t="s">
        <v>7783</v>
      </c>
      <c r="BM461" t="s">
        <v>7784</v>
      </c>
      <c r="BN461" t="s">
        <v>74</v>
      </c>
      <c r="BO461" t="s">
        <v>1681</v>
      </c>
      <c r="BP461" t="s">
        <v>74</v>
      </c>
      <c r="BQ461" t="s">
        <v>74</v>
      </c>
      <c r="BR461" t="s">
        <v>100</v>
      </c>
      <c r="BS461" t="s">
        <v>7785</v>
      </c>
      <c r="BT461" t="str">
        <f>HYPERLINK("https%3A%2F%2Fwww.webofscience.com%2Fwos%2Fwoscc%2Ffull-record%2FWOS:000268177900042","View Full Record in Web of Science")</f>
        <v>View Full Record in Web of Science</v>
      </c>
    </row>
    <row r="462" spans="1:72" x14ac:dyDescent="0.15">
      <c r="A462" t="s">
        <v>816</v>
      </c>
      <c r="B462" t="s">
        <v>7786</v>
      </c>
      <c r="C462" t="s">
        <v>74</v>
      </c>
      <c r="D462" t="s">
        <v>7787</v>
      </c>
      <c r="E462" t="s">
        <v>74</v>
      </c>
      <c r="F462" t="s">
        <v>7788</v>
      </c>
      <c r="G462" t="s">
        <v>74</v>
      </c>
      <c r="H462" t="s">
        <v>74</v>
      </c>
      <c r="I462" t="s">
        <v>7789</v>
      </c>
      <c r="J462" t="s">
        <v>7790</v>
      </c>
      <c r="K462" t="s">
        <v>7791</v>
      </c>
      <c r="L462" t="s">
        <v>74</v>
      </c>
      <c r="M462" t="s">
        <v>78</v>
      </c>
      <c r="N462" t="s">
        <v>823</v>
      </c>
      <c r="O462" t="s">
        <v>7792</v>
      </c>
      <c r="P462" t="s">
        <v>7793</v>
      </c>
      <c r="Q462" t="s">
        <v>7794</v>
      </c>
      <c r="R462" t="s">
        <v>74</v>
      </c>
      <c r="S462" t="s">
        <v>74</v>
      </c>
      <c r="T462" t="s">
        <v>74</v>
      </c>
      <c r="U462" t="s">
        <v>74</v>
      </c>
      <c r="V462" t="s">
        <v>7795</v>
      </c>
      <c r="W462" t="s">
        <v>7796</v>
      </c>
      <c r="X462" t="s">
        <v>7797</v>
      </c>
      <c r="Y462" t="s">
        <v>7798</v>
      </c>
      <c r="Z462" t="s">
        <v>7799</v>
      </c>
      <c r="AA462" t="s">
        <v>7800</v>
      </c>
      <c r="AB462" t="s">
        <v>7801</v>
      </c>
      <c r="AC462" t="s">
        <v>74</v>
      </c>
      <c r="AD462" t="s">
        <v>74</v>
      </c>
      <c r="AE462" t="s">
        <v>74</v>
      </c>
      <c r="AF462" t="s">
        <v>74</v>
      </c>
      <c r="AG462">
        <v>25</v>
      </c>
      <c r="AH462">
        <v>0</v>
      </c>
      <c r="AI462">
        <v>0</v>
      </c>
      <c r="AJ462">
        <v>0</v>
      </c>
      <c r="AK462">
        <v>3</v>
      </c>
      <c r="AL462" t="s">
        <v>7802</v>
      </c>
      <c r="AM462" t="s">
        <v>7803</v>
      </c>
      <c r="AN462" t="s">
        <v>7804</v>
      </c>
      <c r="AO462" t="s">
        <v>74</v>
      </c>
      <c r="AP462" t="s">
        <v>74</v>
      </c>
      <c r="AQ462" t="s">
        <v>7805</v>
      </c>
      <c r="AR462" t="s">
        <v>7806</v>
      </c>
      <c r="AS462" t="s">
        <v>7807</v>
      </c>
      <c r="AT462" t="s">
        <v>74</v>
      </c>
      <c r="AU462">
        <v>2008</v>
      </c>
      <c r="AV462">
        <v>13</v>
      </c>
      <c r="AW462" t="s">
        <v>74</v>
      </c>
      <c r="AX462" t="s">
        <v>74</v>
      </c>
      <c r="AY462" t="s">
        <v>74</v>
      </c>
      <c r="AZ462" t="s">
        <v>74</v>
      </c>
      <c r="BA462" t="s">
        <v>74</v>
      </c>
      <c r="BB462">
        <v>167</v>
      </c>
      <c r="BC462">
        <v>182</v>
      </c>
      <c r="BD462" t="s">
        <v>74</v>
      </c>
      <c r="BE462" t="s">
        <v>74</v>
      </c>
      <c r="BF462" t="s">
        <v>74</v>
      </c>
      <c r="BG462" t="s">
        <v>74</v>
      </c>
      <c r="BH462" t="s">
        <v>74</v>
      </c>
      <c r="BI462">
        <v>16</v>
      </c>
      <c r="BJ462" t="s">
        <v>1426</v>
      </c>
      <c r="BK462" t="s">
        <v>842</v>
      </c>
      <c r="BL462" t="s">
        <v>1426</v>
      </c>
      <c r="BM462" t="s">
        <v>7808</v>
      </c>
      <c r="BN462" t="s">
        <v>74</v>
      </c>
      <c r="BO462" t="s">
        <v>74</v>
      </c>
      <c r="BP462" t="s">
        <v>74</v>
      </c>
      <c r="BQ462" t="s">
        <v>74</v>
      </c>
      <c r="BR462" t="s">
        <v>100</v>
      </c>
      <c r="BS462" t="s">
        <v>7809</v>
      </c>
      <c r="BT462" t="str">
        <f>HYPERLINK("https%3A%2F%2Fwww.webofscience.com%2Fwos%2Fwoscc%2Ffull-record%2FWOS:000267364300012","View Full Record in Web of Science")</f>
        <v>View Full Record in Web of Science</v>
      </c>
    </row>
    <row r="463" spans="1:72" x14ac:dyDescent="0.15">
      <c r="A463" t="s">
        <v>72</v>
      </c>
      <c r="B463" t="s">
        <v>7810</v>
      </c>
      <c r="C463" t="s">
        <v>74</v>
      </c>
      <c r="D463" t="s">
        <v>74</v>
      </c>
      <c r="E463" t="s">
        <v>74</v>
      </c>
      <c r="F463" t="s">
        <v>7811</v>
      </c>
      <c r="G463" t="s">
        <v>74</v>
      </c>
      <c r="H463" t="s">
        <v>74</v>
      </c>
      <c r="I463" t="s">
        <v>7812</v>
      </c>
      <c r="J463" t="s">
        <v>7813</v>
      </c>
      <c r="K463" t="s">
        <v>74</v>
      </c>
      <c r="L463" t="s">
        <v>74</v>
      </c>
      <c r="M463" t="s">
        <v>78</v>
      </c>
      <c r="N463" t="s">
        <v>106</v>
      </c>
      <c r="O463" t="s">
        <v>74</v>
      </c>
      <c r="P463" t="s">
        <v>74</v>
      </c>
      <c r="Q463" t="s">
        <v>74</v>
      </c>
      <c r="R463" t="s">
        <v>74</v>
      </c>
      <c r="S463" t="s">
        <v>74</v>
      </c>
      <c r="T463" t="s">
        <v>7814</v>
      </c>
      <c r="U463" t="s">
        <v>7815</v>
      </c>
      <c r="V463" t="s">
        <v>7816</v>
      </c>
      <c r="W463" t="s">
        <v>7817</v>
      </c>
      <c r="X463" t="s">
        <v>7818</v>
      </c>
      <c r="Y463" t="s">
        <v>7819</v>
      </c>
      <c r="Z463" t="s">
        <v>7820</v>
      </c>
      <c r="AA463" t="s">
        <v>7821</v>
      </c>
      <c r="AB463" t="s">
        <v>7822</v>
      </c>
      <c r="AC463" t="s">
        <v>7823</v>
      </c>
      <c r="AD463" t="s">
        <v>242</v>
      </c>
      <c r="AE463" t="s">
        <v>74</v>
      </c>
      <c r="AF463" t="s">
        <v>74</v>
      </c>
      <c r="AG463">
        <v>129</v>
      </c>
      <c r="AH463">
        <v>48</v>
      </c>
      <c r="AI463">
        <v>49</v>
      </c>
      <c r="AJ463">
        <v>1</v>
      </c>
      <c r="AK463">
        <v>32</v>
      </c>
      <c r="AL463" t="s">
        <v>521</v>
      </c>
      <c r="AM463" t="s">
        <v>522</v>
      </c>
      <c r="AN463" t="s">
        <v>523</v>
      </c>
      <c r="AO463" t="s">
        <v>7824</v>
      </c>
      <c r="AP463" t="s">
        <v>74</v>
      </c>
      <c r="AQ463" t="s">
        <v>74</v>
      </c>
      <c r="AR463" t="s">
        <v>7825</v>
      </c>
      <c r="AS463" t="s">
        <v>7826</v>
      </c>
      <c r="AT463" t="s">
        <v>74</v>
      </c>
      <c r="AU463">
        <v>2008</v>
      </c>
      <c r="AV463">
        <v>76</v>
      </c>
      <c r="AW463">
        <v>1</v>
      </c>
      <c r="AX463" t="s">
        <v>74</v>
      </c>
      <c r="AY463" t="s">
        <v>74</v>
      </c>
      <c r="AZ463" t="s">
        <v>74</v>
      </c>
      <c r="BA463" t="s">
        <v>74</v>
      </c>
      <c r="BB463">
        <v>39</v>
      </c>
      <c r="BC463">
        <v>88</v>
      </c>
      <c r="BD463" t="s">
        <v>74</v>
      </c>
      <c r="BE463" t="s">
        <v>7827</v>
      </c>
      <c r="BF463" t="str">
        <f>HYPERLINK("http://dx.doi.org/10.1016/j.pocean.2007.10.001","http://dx.doi.org/10.1016/j.pocean.2007.10.001")</f>
        <v>http://dx.doi.org/10.1016/j.pocean.2007.10.001</v>
      </c>
      <c r="BG463" t="s">
        <v>74</v>
      </c>
      <c r="BH463" t="s">
        <v>74</v>
      </c>
      <c r="BI463">
        <v>50</v>
      </c>
      <c r="BJ463" t="s">
        <v>630</v>
      </c>
      <c r="BK463" t="s">
        <v>97</v>
      </c>
      <c r="BL463" t="s">
        <v>630</v>
      </c>
      <c r="BM463" t="s">
        <v>7828</v>
      </c>
      <c r="BN463" t="s">
        <v>74</v>
      </c>
      <c r="BO463" t="s">
        <v>250</v>
      </c>
      <c r="BP463" t="s">
        <v>74</v>
      </c>
      <c r="BQ463" t="s">
        <v>74</v>
      </c>
      <c r="BR463" t="s">
        <v>100</v>
      </c>
      <c r="BS463" t="s">
        <v>7829</v>
      </c>
      <c r="BT463" t="str">
        <f>HYPERLINK("https%3A%2F%2Fwww.webofscience.com%2Fwos%2Fwoscc%2Ffull-record%2FWOS:000253567000002","View Full Record in Web of Science")</f>
        <v>View Full Record in Web of Science</v>
      </c>
    </row>
    <row r="464" spans="1:72" x14ac:dyDescent="0.15">
      <c r="A464" t="s">
        <v>72</v>
      </c>
      <c r="B464" t="s">
        <v>7830</v>
      </c>
      <c r="C464" t="s">
        <v>74</v>
      </c>
      <c r="D464" t="s">
        <v>74</v>
      </c>
      <c r="E464" t="s">
        <v>74</v>
      </c>
      <c r="F464" t="s">
        <v>7831</v>
      </c>
      <c r="G464" t="s">
        <v>74</v>
      </c>
      <c r="H464" t="s">
        <v>74</v>
      </c>
      <c r="I464" t="s">
        <v>7832</v>
      </c>
      <c r="J464" t="s">
        <v>7833</v>
      </c>
      <c r="K464" t="s">
        <v>74</v>
      </c>
      <c r="L464" t="s">
        <v>74</v>
      </c>
      <c r="M464" t="s">
        <v>78</v>
      </c>
      <c r="N464" t="s">
        <v>79</v>
      </c>
      <c r="O464" t="s">
        <v>74</v>
      </c>
      <c r="P464" t="s">
        <v>74</v>
      </c>
      <c r="Q464" t="s">
        <v>74</v>
      </c>
      <c r="R464" t="s">
        <v>74</v>
      </c>
      <c r="S464" t="s">
        <v>74</v>
      </c>
      <c r="T464" t="s">
        <v>7834</v>
      </c>
      <c r="U464" t="s">
        <v>74</v>
      </c>
      <c r="V464" t="s">
        <v>7835</v>
      </c>
      <c r="W464" t="s">
        <v>7836</v>
      </c>
      <c r="X464" t="s">
        <v>7837</v>
      </c>
      <c r="Y464" t="s">
        <v>7838</v>
      </c>
      <c r="Z464" t="s">
        <v>7839</v>
      </c>
      <c r="AA464" t="s">
        <v>7840</v>
      </c>
      <c r="AB464" t="s">
        <v>7841</v>
      </c>
      <c r="AC464" t="s">
        <v>7842</v>
      </c>
      <c r="AD464" t="s">
        <v>7843</v>
      </c>
      <c r="AE464" t="s">
        <v>7844</v>
      </c>
      <c r="AF464" t="s">
        <v>74</v>
      </c>
      <c r="AG464">
        <v>16</v>
      </c>
      <c r="AH464">
        <v>7</v>
      </c>
      <c r="AI464">
        <v>7</v>
      </c>
      <c r="AJ464">
        <v>0</v>
      </c>
      <c r="AK464">
        <v>5</v>
      </c>
      <c r="AL464" t="s">
        <v>7845</v>
      </c>
      <c r="AM464" t="s">
        <v>7846</v>
      </c>
      <c r="AN464" t="s">
        <v>7847</v>
      </c>
      <c r="AO464" t="s">
        <v>7848</v>
      </c>
      <c r="AP464" t="s">
        <v>7849</v>
      </c>
      <c r="AQ464" t="s">
        <v>74</v>
      </c>
      <c r="AR464" t="s">
        <v>7850</v>
      </c>
      <c r="AS464" t="s">
        <v>7851</v>
      </c>
      <c r="AT464" t="s">
        <v>74</v>
      </c>
      <c r="AU464">
        <v>2008</v>
      </c>
      <c r="AV464">
        <v>15</v>
      </c>
      <c r="AW464">
        <v>4</v>
      </c>
      <c r="AX464" t="s">
        <v>74</v>
      </c>
      <c r="AY464" t="s">
        <v>74</v>
      </c>
      <c r="AZ464" t="s">
        <v>74</v>
      </c>
      <c r="BA464" t="s">
        <v>74</v>
      </c>
      <c r="BB464">
        <v>415</v>
      </c>
      <c r="BC464">
        <v>418</v>
      </c>
      <c r="BD464" t="s">
        <v>74</v>
      </c>
      <c r="BE464" t="s">
        <v>7852</v>
      </c>
      <c r="BF464" t="str">
        <f>HYPERLINK("http://dx.doi.org/10.2174/092986608784246533","http://dx.doi.org/10.2174/092986608784246533")</f>
        <v>http://dx.doi.org/10.2174/092986608784246533</v>
      </c>
      <c r="BG464" t="s">
        <v>74</v>
      </c>
      <c r="BH464" t="s">
        <v>74</v>
      </c>
      <c r="BI464">
        <v>4</v>
      </c>
      <c r="BJ464" t="s">
        <v>7853</v>
      </c>
      <c r="BK464" t="s">
        <v>97</v>
      </c>
      <c r="BL464" t="s">
        <v>7853</v>
      </c>
      <c r="BM464" t="s">
        <v>7854</v>
      </c>
      <c r="BN464">
        <v>18473957</v>
      </c>
      <c r="BO464" t="s">
        <v>74</v>
      </c>
      <c r="BP464" t="s">
        <v>74</v>
      </c>
      <c r="BQ464" t="s">
        <v>74</v>
      </c>
      <c r="BR464" t="s">
        <v>100</v>
      </c>
      <c r="BS464" t="s">
        <v>7855</v>
      </c>
      <c r="BT464" t="str">
        <f>HYPERLINK("https%3A%2F%2Fwww.webofscience.com%2Fwos%2Fwoscc%2Ffull-record%2FWOS:000219810100002","View Full Record in Web of Science")</f>
        <v>View Full Record in Web of Science</v>
      </c>
    </row>
    <row r="465" spans="1:72" x14ac:dyDescent="0.15">
      <c r="A465" t="s">
        <v>72</v>
      </c>
      <c r="B465" t="s">
        <v>7856</v>
      </c>
      <c r="C465" t="s">
        <v>74</v>
      </c>
      <c r="D465" t="s">
        <v>74</v>
      </c>
      <c r="E465" t="s">
        <v>74</v>
      </c>
      <c r="F465" t="s">
        <v>7857</v>
      </c>
      <c r="G465" t="s">
        <v>74</v>
      </c>
      <c r="H465" t="s">
        <v>74</v>
      </c>
      <c r="I465" t="s">
        <v>7858</v>
      </c>
      <c r="J465" t="s">
        <v>7859</v>
      </c>
      <c r="K465" t="s">
        <v>74</v>
      </c>
      <c r="L465" t="s">
        <v>74</v>
      </c>
      <c r="M465" t="s">
        <v>78</v>
      </c>
      <c r="N465" t="s">
        <v>106</v>
      </c>
      <c r="O465" t="s">
        <v>74</v>
      </c>
      <c r="P465" t="s">
        <v>74</v>
      </c>
      <c r="Q465" t="s">
        <v>74</v>
      </c>
      <c r="R465" t="s">
        <v>74</v>
      </c>
      <c r="S465" t="s">
        <v>74</v>
      </c>
      <c r="T465" t="s">
        <v>74</v>
      </c>
      <c r="U465" t="s">
        <v>7860</v>
      </c>
      <c r="V465" t="s">
        <v>7861</v>
      </c>
      <c r="W465" t="s">
        <v>7862</v>
      </c>
      <c r="X465" t="s">
        <v>7863</v>
      </c>
      <c r="Y465" t="s">
        <v>7864</v>
      </c>
      <c r="Z465" t="s">
        <v>7865</v>
      </c>
      <c r="AA465" t="s">
        <v>7866</v>
      </c>
      <c r="AB465" t="s">
        <v>7867</v>
      </c>
      <c r="AC465" t="s">
        <v>74</v>
      </c>
      <c r="AD465" t="s">
        <v>74</v>
      </c>
      <c r="AE465" t="s">
        <v>74</v>
      </c>
      <c r="AF465" t="s">
        <v>74</v>
      </c>
      <c r="AG465">
        <v>262</v>
      </c>
      <c r="AH465">
        <v>184</v>
      </c>
      <c r="AI465">
        <v>197</v>
      </c>
      <c r="AJ465">
        <v>0</v>
      </c>
      <c r="AK465">
        <v>41</v>
      </c>
      <c r="AL465" t="s">
        <v>521</v>
      </c>
      <c r="AM465" t="s">
        <v>522</v>
      </c>
      <c r="AN465" t="s">
        <v>523</v>
      </c>
      <c r="AO465" t="s">
        <v>7868</v>
      </c>
      <c r="AP465" t="s">
        <v>74</v>
      </c>
      <c r="AQ465" t="s">
        <v>74</v>
      </c>
      <c r="AR465" t="s">
        <v>7869</v>
      </c>
      <c r="AS465" t="s">
        <v>7870</v>
      </c>
      <c r="AT465" t="s">
        <v>1490</v>
      </c>
      <c r="AU465">
        <v>2008</v>
      </c>
      <c r="AV465">
        <v>27</v>
      </c>
      <c r="AW465" t="s">
        <v>551</v>
      </c>
      <c r="AX465" t="s">
        <v>74</v>
      </c>
      <c r="AY465" t="s">
        <v>74</v>
      </c>
      <c r="AZ465" t="s">
        <v>74</v>
      </c>
      <c r="BA465" t="s">
        <v>74</v>
      </c>
      <c r="BB465">
        <v>95</v>
      </c>
      <c r="BC465">
        <v>126</v>
      </c>
      <c r="BD465" t="s">
        <v>74</v>
      </c>
      <c r="BE465" t="s">
        <v>7871</v>
      </c>
      <c r="BF465" t="str">
        <f>HYPERLINK("http://dx.doi.org/10.1016/j.quascirev.2007.01.013","http://dx.doi.org/10.1016/j.quascirev.2007.01.013")</f>
        <v>http://dx.doi.org/10.1016/j.quascirev.2007.01.013</v>
      </c>
      <c r="BG465" t="s">
        <v>74</v>
      </c>
      <c r="BH465" t="s">
        <v>74</v>
      </c>
      <c r="BI465">
        <v>32</v>
      </c>
      <c r="BJ465" t="s">
        <v>2748</v>
      </c>
      <c r="BK465" t="s">
        <v>97</v>
      </c>
      <c r="BL465" t="s">
        <v>2749</v>
      </c>
      <c r="BM465" t="s">
        <v>7872</v>
      </c>
      <c r="BN465" t="s">
        <v>74</v>
      </c>
      <c r="BO465" t="s">
        <v>74</v>
      </c>
      <c r="BP465" t="s">
        <v>74</v>
      </c>
      <c r="BQ465" t="s">
        <v>74</v>
      </c>
      <c r="BR465" t="s">
        <v>100</v>
      </c>
      <c r="BS465" t="s">
        <v>7873</v>
      </c>
      <c r="BT465" t="str">
        <f>HYPERLINK("https%3A%2F%2Fwww.webofscience.com%2Fwos%2Fwoscc%2Ffull-record%2FWOS:000254196600009","View Full Record in Web of Science")</f>
        <v>View Full Record in Web of Science</v>
      </c>
    </row>
    <row r="466" spans="1:72" x14ac:dyDescent="0.15">
      <c r="A466" t="s">
        <v>816</v>
      </c>
      <c r="B466" t="s">
        <v>7874</v>
      </c>
      <c r="C466" t="s">
        <v>74</v>
      </c>
      <c r="D466" t="s">
        <v>7875</v>
      </c>
      <c r="E466" t="s">
        <v>74</v>
      </c>
      <c r="F466" t="s">
        <v>7876</v>
      </c>
      <c r="G466" t="s">
        <v>74</v>
      </c>
      <c r="H466" t="s">
        <v>74</v>
      </c>
      <c r="I466" t="s">
        <v>7877</v>
      </c>
      <c r="J466" t="s">
        <v>7878</v>
      </c>
      <c r="K466" t="s">
        <v>4471</v>
      </c>
      <c r="L466" t="s">
        <v>74</v>
      </c>
      <c r="M466" t="s">
        <v>78</v>
      </c>
      <c r="N466" t="s">
        <v>823</v>
      </c>
      <c r="O466" t="s">
        <v>7879</v>
      </c>
      <c r="P466" t="s">
        <v>7880</v>
      </c>
      <c r="Q466" t="s">
        <v>7698</v>
      </c>
      <c r="R466" t="s">
        <v>74</v>
      </c>
      <c r="S466" t="s">
        <v>74</v>
      </c>
      <c r="T466" t="s">
        <v>74</v>
      </c>
      <c r="U466" t="s">
        <v>7881</v>
      </c>
      <c r="V466" t="s">
        <v>7882</v>
      </c>
      <c r="W466" t="s">
        <v>7883</v>
      </c>
      <c r="X466" t="s">
        <v>640</v>
      </c>
      <c r="Y466" t="s">
        <v>74</v>
      </c>
      <c r="Z466" t="s">
        <v>7884</v>
      </c>
      <c r="AA466" t="s">
        <v>7885</v>
      </c>
      <c r="AB466" t="s">
        <v>7886</v>
      </c>
      <c r="AC466" t="s">
        <v>74</v>
      </c>
      <c r="AD466" t="s">
        <v>74</v>
      </c>
      <c r="AE466" t="s">
        <v>74</v>
      </c>
      <c r="AF466" t="s">
        <v>74</v>
      </c>
      <c r="AG466">
        <v>58</v>
      </c>
      <c r="AH466">
        <v>2</v>
      </c>
      <c r="AI466">
        <v>2</v>
      </c>
      <c r="AJ466">
        <v>0</v>
      </c>
      <c r="AK466">
        <v>16</v>
      </c>
      <c r="AL466" t="s">
        <v>4481</v>
      </c>
      <c r="AM466" t="s">
        <v>4482</v>
      </c>
      <c r="AN466" t="s">
        <v>4483</v>
      </c>
      <c r="AO466" t="s">
        <v>4484</v>
      </c>
      <c r="AP466" t="s">
        <v>74</v>
      </c>
      <c r="AQ466" t="s">
        <v>7887</v>
      </c>
      <c r="AR466" t="s">
        <v>4486</v>
      </c>
      <c r="AS466" t="s">
        <v>4487</v>
      </c>
      <c r="AT466" t="s">
        <v>74</v>
      </c>
      <c r="AU466">
        <v>2008</v>
      </c>
      <c r="AV466">
        <v>49</v>
      </c>
      <c r="AW466" t="s">
        <v>74</v>
      </c>
      <c r="AX466" t="s">
        <v>74</v>
      </c>
      <c r="AY466" t="s">
        <v>74</v>
      </c>
      <c r="AZ466" t="s">
        <v>74</v>
      </c>
      <c r="BA466" t="s">
        <v>74</v>
      </c>
      <c r="BB466">
        <v>1073</v>
      </c>
      <c r="BC466" t="s">
        <v>865</v>
      </c>
      <c r="BD466" t="s">
        <v>74</v>
      </c>
      <c r="BE466" t="s">
        <v>74</v>
      </c>
      <c r="BF466" t="s">
        <v>74</v>
      </c>
      <c r="BG466" t="s">
        <v>74</v>
      </c>
      <c r="BH466" t="s">
        <v>74</v>
      </c>
      <c r="BI466">
        <v>4</v>
      </c>
      <c r="BJ466" t="s">
        <v>7888</v>
      </c>
      <c r="BK466" t="s">
        <v>4169</v>
      </c>
      <c r="BL466" t="s">
        <v>7889</v>
      </c>
      <c r="BM466" t="s">
        <v>7890</v>
      </c>
      <c r="BN466" t="s">
        <v>74</v>
      </c>
      <c r="BO466" t="s">
        <v>74</v>
      </c>
      <c r="BP466" t="s">
        <v>74</v>
      </c>
      <c r="BQ466" t="s">
        <v>74</v>
      </c>
      <c r="BR466" t="s">
        <v>100</v>
      </c>
      <c r="BS466" t="s">
        <v>7891</v>
      </c>
      <c r="BT466" t="str">
        <f>HYPERLINK("https%3A%2F%2Fwww.webofscience.com%2Fwos%2Fwoscc%2Ffull-record%2FWOS:000254264800089","View Full Record in Web of Science")</f>
        <v>View Full Record in Web of Science</v>
      </c>
    </row>
    <row r="467" spans="1:72" x14ac:dyDescent="0.15">
      <c r="A467" t="s">
        <v>816</v>
      </c>
      <c r="B467" t="s">
        <v>7892</v>
      </c>
      <c r="C467" t="s">
        <v>74</v>
      </c>
      <c r="D467" t="s">
        <v>7875</v>
      </c>
      <c r="E467" t="s">
        <v>74</v>
      </c>
      <c r="F467" t="s">
        <v>7893</v>
      </c>
      <c r="G467" t="s">
        <v>74</v>
      </c>
      <c r="H467" t="s">
        <v>74</v>
      </c>
      <c r="I467" t="s">
        <v>7894</v>
      </c>
      <c r="J467" t="s">
        <v>7878</v>
      </c>
      <c r="K467" t="s">
        <v>4471</v>
      </c>
      <c r="L467" t="s">
        <v>74</v>
      </c>
      <c r="M467" t="s">
        <v>78</v>
      </c>
      <c r="N467" t="s">
        <v>823</v>
      </c>
      <c r="O467" t="s">
        <v>7879</v>
      </c>
      <c r="P467" t="s">
        <v>7880</v>
      </c>
      <c r="Q467" t="s">
        <v>7698</v>
      </c>
      <c r="R467" t="s">
        <v>74</v>
      </c>
      <c r="S467" t="s">
        <v>74</v>
      </c>
      <c r="T467" t="s">
        <v>74</v>
      </c>
      <c r="U467" t="s">
        <v>7895</v>
      </c>
      <c r="V467" t="s">
        <v>7896</v>
      </c>
      <c r="W467" t="s">
        <v>7897</v>
      </c>
      <c r="X467" t="s">
        <v>7898</v>
      </c>
      <c r="Y467" t="s">
        <v>74</v>
      </c>
      <c r="Z467" t="s">
        <v>7899</v>
      </c>
      <c r="AA467" t="s">
        <v>74</v>
      </c>
      <c r="AB467" t="s">
        <v>74</v>
      </c>
      <c r="AC467" t="s">
        <v>74</v>
      </c>
      <c r="AD467" t="s">
        <v>74</v>
      </c>
      <c r="AE467" t="s">
        <v>74</v>
      </c>
      <c r="AF467" t="s">
        <v>74</v>
      </c>
      <c r="AG467">
        <v>21</v>
      </c>
      <c r="AH467">
        <v>0</v>
      </c>
      <c r="AI467">
        <v>1</v>
      </c>
      <c r="AJ467">
        <v>0</v>
      </c>
      <c r="AK467">
        <v>13</v>
      </c>
      <c r="AL467" t="s">
        <v>4481</v>
      </c>
      <c r="AM467" t="s">
        <v>4482</v>
      </c>
      <c r="AN467" t="s">
        <v>4483</v>
      </c>
      <c r="AO467" t="s">
        <v>4484</v>
      </c>
      <c r="AP467" t="s">
        <v>74</v>
      </c>
      <c r="AQ467" t="s">
        <v>7887</v>
      </c>
      <c r="AR467" t="s">
        <v>4486</v>
      </c>
      <c r="AS467" t="s">
        <v>4487</v>
      </c>
      <c r="AT467" t="s">
        <v>74</v>
      </c>
      <c r="AU467">
        <v>2008</v>
      </c>
      <c r="AV467">
        <v>49</v>
      </c>
      <c r="AW467" t="s">
        <v>74</v>
      </c>
      <c r="AX467" t="s">
        <v>74</v>
      </c>
      <c r="AY467" t="s">
        <v>74</v>
      </c>
      <c r="AZ467" t="s">
        <v>74</v>
      </c>
      <c r="BA467" t="s">
        <v>74</v>
      </c>
      <c r="BB467">
        <v>1667</v>
      </c>
      <c r="BC467">
        <v>1679</v>
      </c>
      <c r="BD467" t="s">
        <v>74</v>
      </c>
      <c r="BE467" t="s">
        <v>74</v>
      </c>
      <c r="BF467" t="s">
        <v>74</v>
      </c>
      <c r="BG467" t="s">
        <v>74</v>
      </c>
      <c r="BH467" t="s">
        <v>74</v>
      </c>
      <c r="BI467">
        <v>13</v>
      </c>
      <c r="BJ467" t="s">
        <v>7888</v>
      </c>
      <c r="BK467" t="s">
        <v>4169</v>
      </c>
      <c r="BL467" t="s">
        <v>7889</v>
      </c>
      <c r="BM467" t="s">
        <v>7890</v>
      </c>
      <c r="BN467" t="s">
        <v>74</v>
      </c>
      <c r="BO467" t="s">
        <v>74</v>
      </c>
      <c r="BP467" t="s">
        <v>74</v>
      </c>
      <c r="BQ467" t="s">
        <v>74</v>
      </c>
      <c r="BR467" t="s">
        <v>100</v>
      </c>
      <c r="BS467" t="s">
        <v>7900</v>
      </c>
      <c r="BT467" t="str">
        <f>HYPERLINK("https%3A%2F%2Fwww.webofscience.com%2Fwos%2Fwoscc%2Ffull-record%2FWOS:000254264800138","View Full Record in Web of Science")</f>
        <v>View Full Record in Web of Science</v>
      </c>
    </row>
    <row r="468" spans="1:72" x14ac:dyDescent="0.15">
      <c r="A468" t="s">
        <v>816</v>
      </c>
      <c r="B468" t="s">
        <v>7901</v>
      </c>
      <c r="C468" t="s">
        <v>74</v>
      </c>
      <c r="D468" t="s">
        <v>7875</v>
      </c>
      <c r="E468" t="s">
        <v>74</v>
      </c>
      <c r="F468" t="s">
        <v>7902</v>
      </c>
      <c r="G468" t="s">
        <v>74</v>
      </c>
      <c r="H468" t="s">
        <v>74</v>
      </c>
      <c r="I468" t="s">
        <v>7903</v>
      </c>
      <c r="J468" t="s">
        <v>7878</v>
      </c>
      <c r="K468" t="s">
        <v>4471</v>
      </c>
      <c r="L468" t="s">
        <v>74</v>
      </c>
      <c r="M468" t="s">
        <v>78</v>
      </c>
      <c r="N468" t="s">
        <v>823</v>
      </c>
      <c r="O468" t="s">
        <v>7879</v>
      </c>
      <c r="P468" t="s">
        <v>7880</v>
      </c>
      <c r="Q468" t="s">
        <v>7698</v>
      </c>
      <c r="R468" t="s">
        <v>74</v>
      </c>
      <c r="S468" t="s">
        <v>74</v>
      </c>
      <c r="T468" t="s">
        <v>74</v>
      </c>
      <c r="U468" t="s">
        <v>7904</v>
      </c>
      <c r="V468" t="s">
        <v>7905</v>
      </c>
      <c r="W468" t="s">
        <v>7906</v>
      </c>
      <c r="X468" t="s">
        <v>7907</v>
      </c>
      <c r="Y468" t="s">
        <v>7908</v>
      </c>
      <c r="Z468" t="s">
        <v>7909</v>
      </c>
      <c r="AA468" t="s">
        <v>74</v>
      </c>
      <c r="AB468" t="s">
        <v>74</v>
      </c>
      <c r="AC468" t="s">
        <v>74</v>
      </c>
      <c r="AD468" t="s">
        <v>74</v>
      </c>
      <c r="AE468" t="s">
        <v>74</v>
      </c>
      <c r="AF468" t="s">
        <v>74</v>
      </c>
      <c r="AG468">
        <v>73</v>
      </c>
      <c r="AH468">
        <v>1</v>
      </c>
      <c r="AI468">
        <v>2</v>
      </c>
      <c r="AJ468">
        <v>0</v>
      </c>
      <c r="AK468">
        <v>12</v>
      </c>
      <c r="AL468" t="s">
        <v>4481</v>
      </c>
      <c r="AM468" t="s">
        <v>4482</v>
      </c>
      <c r="AN468" t="s">
        <v>4483</v>
      </c>
      <c r="AO468" t="s">
        <v>4484</v>
      </c>
      <c r="AP468" t="s">
        <v>74</v>
      </c>
      <c r="AQ468" t="s">
        <v>7887</v>
      </c>
      <c r="AR468" t="s">
        <v>4486</v>
      </c>
      <c r="AS468" t="s">
        <v>4487</v>
      </c>
      <c r="AT468" t="s">
        <v>74</v>
      </c>
      <c r="AU468">
        <v>2008</v>
      </c>
      <c r="AV468">
        <v>49</v>
      </c>
      <c r="AW468" t="s">
        <v>74</v>
      </c>
      <c r="AX468" t="s">
        <v>74</v>
      </c>
      <c r="AY468" t="s">
        <v>74</v>
      </c>
      <c r="AZ468" t="s">
        <v>74</v>
      </c>
      <c r="BA468" t="s">
        <v>74</v>
      </c>
      <c r="BB468">
        <v>1681</v>
      </c>
      <c r="BC468" t="s">
        <v>865</v>
      </c>
      <c r="BD468" t="s">
        <v>74</v>
      </c>
      <c r="BE468" t="s">
        <v>74</v>
      </c>
      <c r="BF468" t="s">
        <v>74</v>
      </c>
      <c r="BG468" t="s">
        <v>74</v>
      </c>
      <c r="BH468" t="s">
        <v>74</v>
      </c>
      <c r="BI468">
        <v>5</v>
      </c>
      <c r="BJ468" t="s">
        <v>7888</v>
      </c>
      <c r="BK468" t="s">
        <v>4169</v>
      </c>
      <c r="BL468" t="s">
        <v>7889</v>
      </c>
      <c r="BM468" t="s">
        <v>7890</v>
      </c>
      <c r="BN468" t="s">
        <v>74</v>
      </c>
      <c r="BO468" t="s">
        <v>74</v>
      </c>
      <c r="BP468" t="s">
        <v>74</v>
      </c>
      <c r="BQ468" t="s">
        <v>74</v>
      </c>
      <c r="BR468" t="s">
        <v>100</v>
      </c>
      <c r="BS468" t="s">
        <v>7910</v>
      </c>
      <c r="BT468" t="str">
        <f>HYPERLINK("https%3A%2F%2Fwww.webofscience.com%2Fwos%2Fwoscc%2Ffull-record%2FWOS:000254264800139","View Full Record in Web of Science")</f>
        <v>View Full Record in Web of Science</v>
      </c>
    </row>
    <row r="469" spans="1:72" x14ac:dyDescent="0.15">
      <c r="A469" t="s">
        <v>816</v>
      </c>
      <c r="B469" t="s">
        <v>7911</v>
      </c>
      <c r="C469" t="s">
        <v>74</v>
      </c>
      <c r="D469" t="s">
        <v>7912</v>
      </c>
      <c r="E469" t="s">
        <v>74</v>
      </c>
      <c r="F469" t="s">
        <v>7913</v>
      </c>
      <c r="G469" t="s">
        <v>74</v>
      </c>
      <c r="H469" t="s">
        <v>74</v>
      </c>
      <c r="I469" t="s">
        <v>7914</v>
      </c>
      <c r="J469" t="s">
        <v>7915</v>
      </c>
      <c r="K469" t="s">
        <v>7916</v>
      </c>
      <c r="L469" t="s">
        <v>74</v>
      </c>
      <c r="M469" t="s">
        <v>78</v>
      </c>
      <c r="N469" t="s">
        <v>823</v>
      </c>
      <c r="O469" t="s">
        <v>7917</v>
      </c>
      <c r="P469" t="s">
        <v>7918</v>
      </c>
      <c r="Q469" t="s">
        <v>7919</v>
      </c>
      <c r="R469" t="s">
        <v>74</v>
      </c>
      <c r="S469" t="s">
        <v>74</v>
      </c>
      <c r="T469" t="s">
        <v>7920</v>
      </c>
      <c r="U469" t="s">
        <v>7921</v>
      </c>
      <c r="V469" t="s">
        <v>7922</v>
      </c>
      <c r="W469" t="s">
        <v>7923</v>
      </c>
      <c r="X469" t="s">
        <v>7924</v>
      </c>
      <c r="Y469" t="s">
        <v>7925</v>
      </c>
      <c r="Z469" t="s">
        <v>74</v>
      </c>
      <c r="AA469" t="s">
        <v>74</v>
      </c>
      <c r="AB469" t="s">
        <v>74</v>
      </c>
      <c r="AC469" t="s">
        <v>7926</v>
      </c>
      <c r="AD469" t="s">
        <v>7927</v>
      </c>
      <c r="AE469" t="s">
        <v>7928</v>
      </c>
      <c r="AF469" t="s">
        <v>74</v>
      </c>
      <c r="AG469">
        <v>57</v>
      </c>
      <c r="AH469">
        <v>92</v>
      </c>
      <c r="AI469">
        <v>112</v>
      </c>
      <c r="AJ469">
        <v>1</v>
      </c>
      <c r="AK469">
        <v>10</v>
      </c>
      <c r="AL469" t="s">
        <v>7929</v>
      </c>
      <c r="AM469" t="s">
        <v>7930</v>
      </c>
      <c r="AN469" t="s">
        <v>7931</v>
      </c>
      <c r="AO469" t="s">
        <v>7932</v>
      </c>
      <c r="AP469" t="s">
        <v>74</v>
      </c>
      <c r="AQ469" t="s">
        <v>7933</v>
      </c>
      <c r="AR469" t="s">
        <v>7934</v>
      </c>
      <c r="AS469" t="s">
        <v>74</v>
      </c>
      <c r="AT469" t="s">
        <v>74</v>
      </c>
      <c r="AU469">
        <v>2008</v>
      </c>
      <c r="AV469">
        <v>441</v>
      </c>
      <c r="AW469" t="s">
        <v>74</v>
      </c>
      <c r="AX469" t="s">
        <v>74</v>
      </c>
      <c r="AY469" t="s">
        <v>74</v>
      </c>
      <c r="AZ469" t="s">
        <v>74</v>
      </c>
      <c r="BA469" t="s">
        <v>74</v>
      </c>
      <c r="BB469">
        <v>59</v>
      </c>
      <c r="BC469">
        <v>70</v>
      </c>
      <c r="BD469" t="s">
        <v>74</v>
      </c>
      <c r="BE469" t="s">
        <v>7935</v>
      </c>
      <c r="BF469" t="str">
        <f>HYPERLINK("http://dx.doi.org/10.1130/2008.2441(04)","http://dx.doi.org/10.1130/2008.2441(04)")</f>
        <v>http://dx.doi.org/10.1130/2008.2441(04)</v>
      </c>
      <c r="BG469" t="s">
        <v>74</v>
      </c>
      <c r="BH469" t="s">
        <v>74</v>
      </c>
      <c r="BI469">
        <v>12</v>
      </c>
      <c r="BJ469" t="s">
        <v>1824</v>
      </c>
      <c r="BK469" t="s">
        <v>842</v>
      </c>
      <c r="BL469" t="s">
        <v>98</v>
      </c>
      <c r="BM469" t="s">
        <v>7936</v>
      </c>
      <c r="BN469" t="s">
        <v>74</v>
      </c>
      <c r="BO469" t="s">
        <v>74</v>
      </c>
      <c r="BP469" t="s">
        <v>74</v>
      </c>
      <c r="BQ469" t="s">
        <v>74</v>
      </c>
      <c r="BR469" t="s">
        <v>100</v>
      </c>
      <c r="BS469" t="s">
        <v>7937</v>
      </c>
      <c r="BT469" t="str">
        <f>HYPERLINK("https%3A%2F%2Fwww.webofscience.com%2Fwos%2Fwoscc%2Ffull-record%2FWOS:000271226700004","View Full Record in Web of Science")</f>
        <v>View Full Record in Web of Science</v>
      </c>
    </row>
    <row r="470" spans="1:72" x14ac:dyDescent="0.15">
      <c r="A470" t="s">
        <v>72</v>
      </c>
      <c r="B470" t="s">
        <v>7938</v>
      </c>
      <c r="C470" t="s">
        <v>74</v>
      </c>
      <c r="D470" t="s">
        <v>74</v>
      </c>
      <c r="E470" t="s">
        <v>74</v>
      </c>
      <c r="F470" t="s">
        <v>7939</v>
      </c>
      <c r="G470" t="s">
        <v>74</v>
      </c>
      <c r="H470" t="s">
        <v>74</v>
      </c>
      <c r="I470" t="s">
        <v>7940</v>
      </c>
      <c r="J470" t="s">
        <v>7941</v>
      </c>
      <c r="K470" t="s">
        <v>74</v>
      </c>
      <c r="L470" t="s">
        <v>74</v>
      </c>
      <c r="M470" t="s">
        <v>3986</v>
      </c>
      <c r="N470" t="s">
        <v>79</v>
      </c>
      <c r="O470" t="s">
        <v>74</v>
      </c>
      <c r="P470" t="s">
        <v>74</v>
      </c>
      <c r="Q470" t="s">
        <v>74</v>
      </c>
      <c r="R470" t="s">
        <v>74</v>
      </c>
      <c r="S470" t="s">
        <v>74</v>
      </c>
      <c r="T470" t="s">
        <v>7942</v>
      </c>
      <c r="U470" t="s">
        <v>7943</v>
      </c>
      <c r="V470" t="s">
        <v>7944</v>
      </c>
      <c r="W470" t="s">
        <v>7945</v>
      </c>
      <c r="X470" t="s">
        <v>7946</v>
      </c>
      <c r="Y470" t="s">
        <v>7947</v>
      </c>
      <c r="Z470" t="s">
        <v>7948</v>
      </c>
      <c r="AA470" t="s">
        <v>74</v>
      </c>
      <c r="AB470" t="s">
        <v>7949</v>
      </c>
      <c r="AC470" t="s">
        <v>74</v>
      </c>
      <c r="AD470" t="s">
        <v>74</v>
      </c>
      <c r="AE470" t="s">
        <v>74</v>
      </c>
      <c r="AF470" t="s">
        <v>74</v>
      </c>
      <c r="AG470">
        <v>27</v>
      </c>
      <c r="AH470">
        <v>30</v>
      </c>
      <c r="AI470">
        <v>31</v>
      </c>
      <c r="AJ470">
        <v>0</v>
      </c>
      <c r="AK470">
        <v>2</v>
      </c>
      <c r="AL470" t="s">
        <v>7950</v>
      </c>
      <c r="AM470" t="s">
        <v>7951</v>
      </c>
      <c r="AN470" t="s">
        <v>7952</v>
      </c>
      <c r="AO470" t="s">
        <v>7953</v>
      </c>
      <c r="AP470" t="s">
        <v>7954</v>
      </c>
      <c r="AQ470" t="s">
        <v>74</v>
      </c>
      <c r="AR470" t="s">
        <v>7955</v>
      </c>
      <c r="AS470" t="s">
        <v>7956</v>
      </c>
      <c r="AT470" t="s">
        <v>6588</v>
      </c>
      <c r="AU470">
        <v>2008</v>
      </c>
      <c r="AV470">
        <v>40</v>
      </c>
      <c r="AW470">
        <v>1</v>
      </c>
      <c r="AX470" t="s">
        <v>74</v>
      </c>
      <c r="AY470" t="s">
        <v>74</v>
      </c>
      <c r="AZ470" t="s">
        <v>74</v>
      </c>
      <c r="BA470" t="s">
        <v>74</v>
      </c>
      <c r="BB470">
        <v>63</v>
      </c>
      <c r="BC470">
        <v>71</v>
      </c>
      <c r="BD470" t="s">
        <v>74</v>
      </c>
      <c r="BE470" t="s">
        <v>74</v>
      </c>
      <c r="BF470" t="s">
        <v>74</v>
      </c>
      <c r="BG470" t="s">
        <v>74</v>
      </c>
      <c r="BH470" t="s">
        <v>74</v>
      </c>
      <c r="BI470">
        <v>9</v>
      </c>
      <c r="BJ470" t="s">
        <v>4198</v>
      </c>
      <c r="BK470" t="s">
        <v>97</v>
      </c>
      <c r="BL470" t="s">
        <v>4198</v>
      </c>
      <c r="BM470" t="s">
        <v>7957</v>
      </c>
      <c r="BN470">
        <v>18669056</v>
      </c>
      <c r="BO470" t="s">
        <v>74</v>
      </c>
      <c r="BP470" t="s">
        <v>74</v>
      </c>
      <c r="BQ470" t="s">
        <v>74</v>
      </c>
      <c r="BR470" t="s">
        <v>100</v>
      </c>
      <c r="BS470" t="s">
        <v>7958</v>
      </c>
      <c r="BT470" t="str">
        <f>HYPERLINK("https%3A%2F%2Fwww.webofscience.com%2Fwos%2Fwoscc%2Ffull-record%2FWOS:000256437000013","View Full Record in Web of Science")</f>
        <v>View Full Record in Web of Science</v>
      </c>
    </row>
    <row r="471" spans="1:72" x14ac:dyDescent="0.15">
      <c r="A471" t="s">
        <v>72</v>
      </c>
      <c r="B471" t="s">
        <v>7959</v>
      </c>
      <c r="C471" t="s">
        <v>74</v>
      </c>
      <c r="D471" t="s">
        <v>74</v>
      </c>
      <c r="E471" t="s">
        <v>74</v>
      </c>
      <c r="F471" t="s">
        <v>7960</v>
      </c>
      <c r="G471" t="s">
        <v>74</v>
      </c>
      <c r="H471" t="s">
        <v>74</v>
      </c>
      <c r="I471" t="s">
        <v>7961</v>
      </c>
      <c r="J471" t="s">
        <v>7962</v>
      </c>
      <c r="K471" t="s">
        <v>74</v>
      </c>
      <c r="L471" t="s">
        <v>74</v>
      </c>
      <c r="M471" t="s">
        <v>78</v>
      </c>
      <c r="N471" t="s">
        <v>79</v>
      </c>
      <c r="O471" t="s">
        <v>7963</v>
      </c>
      <c r="P471" t="s">
        <v>7964</v>
      </c>
      <c r="Q471" t="s">
        <v>7965</v>
      </c>
      <c r="R471" t="s">
        <v>74</v>
      </c>
      <c r="S471" t="s">
        <v>74</v>
      </c>
      <c r="T471" t="s">
        <v>7966</v>
      </c>
      <c r="U471" t="s">
        <v>74</v>
      </c>
      <c r="V471" t="s">
        <v>7967</v>
      </c>
      <c r="W471" t="s">
        <v>7968</v>
      </c>
      <c r="X471" t="s">
        <v>7969</v>
      </c>
      <c r="Y471" t="s">
        <v>7970</v>
      </c>
      <c r="Z471" t="s">
        <v>74</v>
      </c>
      <c r="AA471" t="s">
        <v>7971</v>
      </c>
      <c r="AB471" t="s">
        <v>7972</v>
      </c>
      <c r="AC471" t="s">
        <v>74</v>
      </c>
      <c r="AD471" t="s">
        <v>74</v>
      </c>
      <c r="AE471" t="s">
        <v>74</v>
      </c>
      <c r="AF471" t="s">
        <v>74</v>
      </c>
      <c r="AG471">
        <v>10</v>
      </c>
      <c r="AH471">
        <v>0</v>
      </c>
      <c r="AI471">
        <v>0</v>
      </c>
      <c r="AJ471">
        <v>0</v>
      </c>
      <c r="AK471">
        <v>1</v>
      </c>
      <c r="AL471" t="s">
        <v>7973</v>
      </c>
      <c r="AM471" t="s">
        <v>7974</v>
      </c>
      <c r="AN471" t="s">
        <v>7975</v>
      </c>
      <c r="AO471" t="s">
        <v>7976</v>
      </c>
      <c r="AP471" t="s">
        <v>74</v>
      </c>
      <c r="AQ471" t="s">
        <v>74</v>
      </c>
      <c r="AR471" t="s">
        <v>7977</v>
      </c>
      <c r="AS471" t="s">
        <v>7978</v>
      </c>
      <c r="AT471" t="s">
        <v>74</v>
      </c>
      <c r="AU471">
        <v>2008</v>
      </c>
      <c r="AV471">
        <v>53</v>
      </c>
      <c r="AW471" t="s">
        <v>7979</v>
      </c>
      <c r="AX471" t="s">
        <v>74</v>
      </c>
      <c r="AY471" t="s">
        <v>74</v>
      </c>
      <c r="AZ471" t="s">
        <v>74</v>
      </c>
      <c r="BA471" t="s">
        <v>74</v>
      </c>
      <c r="BB471">
        <v>761</v>
      </c>
      <c r="BC471">
        <v>769</v>
      </c>
      <c r="BD471" t="s">
        <v>74</v>
      </c>
      <c r="BE471" t="s">
        <v>74</v>
      </c>
      <c r="BF471" t="s">
        <v>74</v>
      </c>
      <c r="BG471" t="s">
        <v>74</v>
      </c>
      <c r="BH471" t="s">
        <v>74</v>
      </c>
      <c r="BI471">
        <v>9</v>
      </c>
      <c r="BJ471" t="s">
        <v>812</v>
      </c>
      <c r="BK471" t="s">
        <v>97</v>
      </c>
      <c r="BL471" t="s">
        <v>813</v>
      </c>
      <c r="BM471" t="s">
        <v>7980</v>
      </c>
      <c r="BN471" t="s">
        <v>74</v>
      </c>
      <c r="BO471" t="s">
        <v>74</v>
      </c>
      <c r="BP471" t="s">
        <v>74</v>
      </c>
      <c r="BQ471" t="s">
        <v>74</v>
      </c>
      <c r="BR471" t="s">
        <v>100</v>
      </c>
      <c r="BS471" t="s">
        <v>7981</v>
      </c>
      <c r="BT471" t="str">
        <f>HYPERLINK("https%3A%2F%2Fwww.webofscience.com%2Fwos%2Fwoscc%2Ffull-record%2FWOS:000264109600015","View Full Record in Web of Science")</f>
        <v>View Full Record in Web of Science</v>
      </c>
    </row>
    <row r="472" spans="1:72" x14ac:dyDescent="0.15">
      <c r="A472" t="s">
        <v>72</v>
      </c>
      <c r="B472" t="s">
        <v>7982</v>
      </c>
      <c r="C472" t="s">
        <v>74</v>
      </c>
      <c r="D472" t="s">
        <v>74</v>
      </c>
      <c r="E472" t="s">
        <v>74</v>
      </c>
      <c r="F472" t="s">
        <v>7983</v>
      </c>
      <c r="G472" t="s">
        <v>74</v>
      </c>
      <c r="H472" t="s">
        <v>74</v>
      </c>
      <c r="I472" t="s">
        <v>7984</v>
      </c>
      <c r="J472" t="s">
        <v>7985</v>
      </c>
      <c r="K472" t="s">
        <v>74</v>
      </c>
      <c r="L472" t="s">
        <v>74</v>
      </c>
      <c r="M472" t="s">
        <v>78</v>
      </c>
      <c r="N472" t="s">
        <v>79</v>
      </c>
      <c r="O472" t="s">
        <v>74</v>
      </c>
      <c r="P472" t="s">
        <v>74</v>
      </c>
      <c r="Q472" t="s">
        <v>74</v>
      </c>
      <c r="R472" t="s">
        <v>74</v>
      </c>
      <c r="S472" t="s">
        <v>74</v>
      </c>
      <c r="T472" t="s">
        <v>7986</v>
      </c>
      <c r="U472" t="s">
        <v>74</v>
      </c>
      <c r="V472" t="s">
        <v>7987</v>
      </c>
      <c r="W472" t="s">
        <v>7988</v>
      </c>
      <c r="X472" t="s">
        <v>74</v>
      </c>
      <c r="Y472" t="s">
        <v>7989</v>
      </c>
      <c r="Z472" t="s">
        <v>7990</v>
      </c>
      <c r="AA472" t="s">
        <v>74</v>
      </c>
      <c r="AB472" t="s">
        <v>74</v>
      </c>
      <c r="AC472" t="s">
        <v>74</v>
      </c>
      <c r="AD472" t="s">
        <v>74</v>
      </c>
      <c r="AE472" t="s">
        <v>74</v>
      </c>
      <c r="AF472" t="s">
        <v>74</v>
      </c>
      <c r="AG472">
        <v>52</v>
      </c>
      <c r="AH472">
        <v>15</v>
      </c>
      <c r="AI472">
        <v>18</v>
      </c>
      <c r="AJ472">
        <v>0</v>
      </c>
      <c r="AK472">
        <v>0</v>
      </c>
      <c r="AL472" t="s">
        <v>7991</v>
      </c>
      <c r="AM472" t="s">
        <v>7992</v>
      </c>
      <c r="AN472" t="s">
        <v>7993</v>
      </c>
      <c r="AO472" t="s">
        <v>7994</v>
      </c>
      <c r="AP472" t="s">
        <v>74</v>
      </c>
      <c r="AQ472" t="s">
        <v>74</v>
      </c>
      <c r="AR472" t="s">
        <v>7995</v>
      </c>
      <c r="AS472" t="s">
        <v>7996</v>
      </c>
      <c r="AT472" t="s">
        <v>1490</v>
      </c>
      <c r="AU472">
        <v>2008</v>
      </c>
      <c r="AV472">
        <v>10</v>
      </c>
      <c r="AW472">
        <v>1</v>
      </c>
      <c r="AX472" t="s">
        <v>74</v>
      </c>
      <c r="AY472" t="s">
        <v>74</v>
      </c>
      <c r="AZ472" t="s">
        <v>74</v>
      </c>
      <c r="BA472" t="s">
        <v>74</v>
      </c>
      <c r="BB472" t="s">
        <v>74</v>
      </c>
      <c r="BC472" t="s">
        <v>74</v>
      </c>
      <c r="BD472" t="s">
        <v>7997</v>
      </c>
      <c r="BE472" t="s">
        <v>7998</v>
      </c>
      <c r="BF472" t="str">
        <f>HYPERLINK("http://dx.doi.org/10.2205/2007ES000249","http://dx.doi.org/10.2205/2007ES000249")</f>
        <v>http://dx.doi.org/10.2205/2007ES000249</v>
      </c>
      <c r="BG472" t="s">
        <v>74</v>
      </c>
      <c r="BH472" t="s">
        <v>74</v>
      </c>
      <c r="BI472">
        <v>17</v>
      </c>
      <c r="BJ472" t="s">
        <v>96</v>
      </c>
      <c r="BK472" t="s">
        <v>2166</v>
      </c>
      <c r="BL472" t="s">
        <v>98</v>
      </c>
      <c r="BM472" t="s">
        <v>7999</v>
      </c>
      <c r="BN472" t="s">
        <v>74</v>
      </c>
      <c r="BO472" t="s">
        <v>74</v>
      </c>
      <c r="BP472" t="s">
        <v>74</v>
      </c>
      <c r="BQ472" t="s">
        <v>74</v>
      </c>
      <c r="BR472" t="s">
        <v>100</v>
      </c>
      <c r="BS472" t="s">
        <v>8000</v>
      </c>
      <c r="BT472" t="str">
        <f>HYPERLINK("https%3A%2F%2Fwww.webofscience.com%2Fwos%2Fwoscc%2Ffull-record%2FWOS:000420748400002","View Full Record in Web of Science")</f>
        <v>View Full Record in Web of Science</v>
      </c>
    </row>
    <row r="473" spans="1:72" x14ac:dyDescent="0.15">
      <c r="A473" t="s">
        <v>72</v>
      </c>
      <c r="B473" t="s">
        <v>8001</v>
      </c>
      <c r="C473" t="s">
        <v>74</v>
      </c>
      <c r="D473" t="s">
        <v>74</v>
      </c>
      <c r="E473" t="s">
        <v>74</v>
      </c>
      <c r="F473" t="s">
        <v>8002</v>
      </c>
      <c r="G473" t="s">
        <v>74</v>
      </c>
      <c r="H473" t="s">
        <v>74</v>
      </c>
      <c r="I473" t="s">
        <v>8003</v>
      </c>
      <c r="J473" t="s">
        <v>8004</v>
      </c>
      <c r="K473" t="s">
        <v>74</v>
      </c>
      <c r="L473" t="s">
        <v>74</v>
      </c>
      <c r="M473" t="s">
        <v>78</v>
      </c>
      <c r="N473" t="s">
        <v>79</v>
      </c>
      <c r="O473" t="s">
        <v>74</v>
      </c>
      <c r="P473" t="s">
        <v>74</v>
      </c>
      <c r="Q473" t="s">
        <v>74</v>
      </c>
      <c r="R473" t="s">
        <v>74</v>
      </c>
      <c r="S473" t="s">
        <v>74</v>
      </c>
      <c r="T473" t="s">
        <v>74</v>
      </c>
      <c r="U473" t="s">
        <v>74</v>
      </c>
      <c r="V473" t="s">
        <v>8005</v>
      </c>
      <c r="W473" t="s">
        <v>8006</v>
      </c>
      <c r="X473" t="s">
        <v>3094</v>
      </c>
      <c r="Y473" t="s">
        <v>8007</v>
      </c>
      <c r="Z473" t="s">
        <v>74</v>
      </c>
      <c r="AA473" t="s">
        <v>74</v>
      </c>
      <c r="AB473" t="s">
        <v>74</v>
      </c>
      <c r="AC473" t="s">
        <v>8008</v>
      </c>
      <c r="AD473" t="s">
        <v>937</v>
      </c>
      <c r="AE473" t="s">
        <v>8009</v>
      </c>
      <c r="AF473" t="s">
        <v>74</v>
      </c>
      <c r="AG473">
        <v>15</v>
      </c>
      <c r="AH473">
        <v>8</v>
      </c>
      <c r="AI473">
        <v>10</v>
      </c>
      <c r="AJ473">
        <v>0</v>
      </c>
      <c r="AK473">
        <v>2</v>
      </c>
      <c r="AL473" t="s">
        <v>8010</v>
      </c>
      <c r="AM473" t="s">
        <v>662</v>
      </c>
      <c r="AN473" t="s">
        <v>8011</v>
      </c>
      <c r="AO473" t="s">
        <v>8012</v>
      </c>
      <c r="AP473" t="s">
        <v>74</v>
      </c>
      <c r="AQ473" t="s">
        <v>74</v>
      </c>
      <c r="AR473" t="s">
        <v>8013</v>
      </c>
      <c r="AS473" t="s">
        <v>8014</v>
      </c>
      <c r="AT473" t="s">
        <v>1490</v>
      </c>
      <c r="AU473">
        <v>2008</v>
      </c>
      <c r="AV473">
        <v>33</v>
      </c>
      <c r="AW473">
        <v>1</v>
      </c>
      <c r="AX473" t="s">
        <v>74</v>
      </c>
      <c r="AY473" t="s">
        <v>74</v>
      </c>
      <c r="AZ473" t="s">
        <v>74</v>
      </c>
      <c r="BA473" t="s">
        <v>74</v>
      </c>
      <c r="BB473">
        <v>43</v>
      </c>
      <c r="BC473">
        <v>47</v>
      </c>
      <c r="BD473" t="s">
        <v>74</v>
      </c>
      <c r="BE473" t="s">
        <v>8015</v>
      </c>
      <c r="BF473" t="str">
        <f>HYPERLINK("http://dx.doi.org/10.3103/S106837390801007X","http://dx.doi.org/10.3103/S106837390801007X")</f>
        <v>http://dx.doi.org/10.3103/S106837390801007X</v>
      </c>
      <c r="BG473" t="s">
        <v>74</v>
      </c>
      <c r="BH473" t="s">
        <v>74</v>
      </c>
      <c r="BI473">
        <v>5</v>
      </c>
      <c r="BJ473" t="s">
        <v>204</v>
      </c>
      <c r="BK473" t="s">
        <v>97</v>
      </c>
      <c r="BL473" t="s">
        <v>204</v>
      </c>
      <c r="BM473" t="s">
        <v>8016</v>
      </c>
      <c r="BN473" t="s">
        <v>74</v>
      </c>
      <c r="BO473" t="s">
        <v>74</v>
      </c>
      <c r="BP473" t="s">
        <v>74</v>
      </c>
      <c r="BQ473" t="s">
        <v>74</v>
      </c>
      <c r="BR473" t="s">
        <v>100</v>
      </c>
      <c r="BS473" t="s">
        <v>8017</v>
      </c>
      <c r="BT473" t="str">
        <f>HYPERLINK("https%3A%2F%2Fwww.webofscience.com%2Fwos%2Fwoscc%2Ffull-record%2FWOS:000262677300007","View Full Record in Web of Science")</f>
        <v>View Full Record in Web of Science</v>
      </c>
    </row>
    <row r="474" spans="1:72" x14ac:dyDescent="0.15">
      <c r="A474" t="s">
        <v>72</v>
      </c>
      <c r="B474" t="s">
        <v>8018</v>
      </c>
      <c r="C474" t="s">
        <v>74</v>
      </c>
      <c r="D474" t="s">
        <v>74</v>
      </c>
      <c r="E474" t="s">
        <v>74</v>
      </c>
      <c r="F474" t="s">
        <v>8019</v>
      </c>
      <c r="G474" t="s">
        <v>74</v>
      </c>
      <c r="H474" t="s">
        <v>74</v>
      </c>
      <c r="I474" t="s">
        <v>8020</v>
      </c>
      <c r="J474" t="s">
        <v>8021</v>
      </c>
      <c r="K474" t="s">
        <v>74</v>
      </c>
      <c r="L474" t="s">
        <v>74</v>
      </c>
      <c r="M474" t="s">
        <v>78</v>
      </c>
      <c r="N474" t="s">
        <v>79</v>
      </c>
      <c r="O474" t="s">
        <v>74</v>
      </c>
      <c r="P474" t="s">
        <v>74</v>
      </c>
      <c r="Q474" t="s">
        <v>74</v>
      </c>
      <c r="R474" t="s">
        <v>74</v>
      </c>
      <c r="S474" t="s">
        <v>74</v>
      </c>
      <c r="T474" t="s">
        <v>8022</v>
      </c>
      <c r="U474" t="s">
        <v>8023</v>
      </c>
      <c r="V474" t="s">
        <v>8024</v>
      </c>
      <c r="W474" t="s">
        <v>8025</v>
      </c>
      <c r="X474" t="s">
        <v>2696</v>
      </c>
      <c r="Y474" t="s">
        <v>8026</v>
      </c>
      <c r="Z474" t="s">
        <v>8027</v>
      </c>
      <c r="AA474" t="s">
        <v>8028</v>
      </c>
      <c r="AB474" t="s">
        <v>8029</v>
      </c>
      <c r="AC474" t="s">
        <v>74</v>
      </c>
      <c r="AD474" t="s">
        <v>74</v>
      </c>
      <c r="AE474" t="s">
        <v>74</v>
      </c>
      <c r="AF474" t="s">
        <v>74</v>
      </c>
      <c r="AG474">
        <v>21</v>
      </c>
      <c r="AH474">
        <v>6</v>
      </c>
      <c r="AI474">
        <v>13</v>
      </c>
      <c r="AJ474">
        <v>2</v>
      </c>
      <c r="AK474">
        <v>17</v>
      </c>
      <c r="AL474" t="s">
        <v>2958</v>
      </c>
      <c r="AM474" t="s">
        <v>2939</v>
      </c>
      <c r="AN474" t="s">
        <v>2940</v>
      </c>
      <c r="AO474" t="s">
        <v>8030</v>
      </c>
      <c r="AP474" t="s">
        <v>74</v>
      </c>
      <c r="AQ474" t="s">
        <v>74</v>
      </c>
      <c r="AR474" t="s">
        <v>8031</v>
      </c>
      <c r="AS474" t="s">
        <v>8032</v>
      </c>
      <c r="AT474" t="s">
        <v>1490</v>
      </c>
      <c r="AU474">
        <v>2008</v>
      </c>
      <c r="AV474">
        <v>51</v>
      </c>
      <c r="AW474">
        <v>1</v>
      </c>
      <c r="AX474" t="s">
        <v>74</v>
      </c>
      <c r="AY474" t="s">
        <v>74</v>
      </c>
      <c r="AZ474" t="s">
        <v>74</v>
      </c>
      <c r="BA474" t="s">
        <v>74</v>
      </c>
      <c r="BB474">
        <v>134</v>
      </c>
      <c r="BC474">
        <v>141</v>
      </c>
      <c r="BD474" t="s">
        <v>74</v>
      </c>
      <c r="BE474" t="s">
        <v>8033</v>
      </c>
      <c r="BF474" t="str">
        <f>HYPERLINK("http://dx.doi.org/10.1007/s11430-007-0147-0","http://dx.doi.org/10.1007/s11430-007-0147-0")</f>
        <v>http://dx.doi.org/10.1007/s11430-007-0147-0</v>
      </c>
      <c r="BG474" t="s">
        <v>74</v>
      </c>
      <c r="BH474" t="s">
        <v>74</v>
      </c>
      <c r="BI474">
        <v>8</v>
      </c>
      <c r="BJ474" t="s">
        <v>96</v>
      </c>
      <c r="BK474" t="s">
        <v>97</v>
      </c>
      <c r="BL474" t="s">
        <v>98</v>
      </c>
      <c r="BM474" t="s">
        <v>8034</v>
      </c>
      <c r="BN474" t="s">
        <v>74</v>
      </c>
      <c r="BO474" t="s">
        <v>74</v>
      </c>
      <c r="BP474" t="s">
        <v>74</v>
      </c>
      <c r="BQ474" t="s">
        <v>74</v>
      </c>
      <c r="BR474" t="s">
        <v>100</v>
      </c>
      <c r="BS474" t="s">
        <v>8035</v>
      </c>
      <c r="BT474" t="str">
        <f>HYPERLINK("https%3A%2F%2Fwww.webofscience.com%2Fwos%2Fwoscc%2Ffull-record%2FWOS:000251412300013","View Full Record in Web of Science")</f>
        <v>View Full Record in Web of Science</v>
      </c>
    </row>
    <row r="475" spans="1:72" x14ac:dyDescent="0.15">
      <c r="A475" t="s">
        <v>72</v>
      </c>
      <c r="B475" t="s">
        <v>8036</v>
      </c>
      <c r="C475" t="s">
        <v>74</v>
      </c>
      <c r="D475" t="s">
        <v>74</v>
      </c>
      <c r="E475" t="s">
        <v>74</v>
      </c>
      <c r="F475" t="s">
        <v>8037</v>
      </c>
      <c r="G475" t="s">
        <v>74</v>
      </c>
      <c r="H475" t="s">
        <v>74</v>
      </c>
      <c r="I475" t="s">
        <v>8038</v>
      </c>
      <c r="J475" t="s">
        <v>8039</v>
      </c>
      <c r="K475" t="s">
        <v>74</v>
      </c>
      <c r="L475" t="s">
        <v>74</v>
      </c>
      <c r="M475" t="s">
        <v>78</v>
      </c>
      <c r="N475" t="s">
        <v>79</v>
      </c>
      <c r="O475" t="s">
        <v>74</v>
      </c>
      <c r="P475" t="s">
        <v>74</v>
      </c>
      <c r="Q475" t="s">
        <v>74</v>
      </c>
      <c r="R475" t="s">
        <v>74</v>
      </c>
      <c r="S475" t="s">
        <v>74</v>
      </c>
      <c r="T475" t="s">
        <v>8040</v>
      </c>
      <c r="U475" t="s">
        <v>8041</v>
      </c>
      <c r="V475" t="s">
        <v>8042</v>
      </c>
      <c r="W475" t="s">
        <v>8043</v>
      </c>
      <c r="X475" t="s">
        <v>8044</v>
      </c>
      <c r="Y475" t="s">
        <v>8045</v>
      </c>
      <c r="Z475" t="s">
        <v>8046</v>
      </c>
      <c r="AA475" t="s">
        <v>74</v>
      </c>
      <c r="AB475" t="s">
        <v>8047</v>
      </c>
      <c r="AC475" t="s">
        <v>8048</v>
      </c>
      <c r="AD475" t="s">
        <v>444</v>
      </c>
      <c r="AE475" t="s">
        <v>74</v>
      </c>
      <c r="AF475" t="s">
        <v>74</v>
      </c>
      <c r="AG475">
        <v>37</v>
      </c>
      <c r="AH475">
        <v>6</v>
      </c>
      <c r="AI475">
        <v>6</v>
      </c>
      <c r="AJ475">
        <v>0</v>
      </c>
      <c r="AK475">
        <v>13</v>
      </c>
      <c r="AL475" t="s">
        <v>2518</v>
      </c>
      <c r="AM475" t="s">
        <v>1421</v>
      </c>
      <c r="AN475" t="s">
        <v>8049</v>
      </c>
      <c r="AO475" t="s">
        <v>8050</v>
      </c>
      <c r="AP475" t="s">
        <v>8051</v>
      </c>
      <c r="AQ475" t="s">
        <v>74</v>
      </c>
      <c r="AR475" t="s">
        <v>8052</v>
      </c>
      <c r="AS475" t="s">
        <v>8053</v>
      </c>
      <c r="AT475" t="s">
        <v>74</v>
      </c>
      <c r="AU475">
        <v>2008</v>
      </c>
      <c r="AV475">
        <v>124</v>
      </c>
      <c r="AW475" t="s">
        <v>272</v>
      </c>
      <c r="AX475" t="s">
        <v>74</v>
      </c>
      <c r="AY475" t="s">
        <v>74</v>
      </c>
      <c r="AZ475" t="s">
        <v>74</v>
      </c>
      <c r="BA475" t="s">
        <v>74</v>
      </c>
      <c r="BB475">
        <v>154</v>
      </c>
      <c r="BC475">
        <v>164</v>
      </c>
      <c r="BD475" t="s">
        <v>74</v>
      </c>
      <c r="BE475" t="s">
        <v>8054</v>
      </c>
      <c r="BF475" t="str">
        <f>HYPERLINK("http://dx.doi.org/10.1080/14702540802441144","http://dx.doi.org/10.1080/14702540802441144")</f>
        <v>http://dx.doi.org/10.1080/14702540802441144</v>
      </c>
      <c r="BG475" t="s">
        <v>74</v>
      </c>
      <c r="BH475" t="s">
        <v>74</v>
      </c>
      <c r="BI475">
        <v>11</v>
      </c>
      <c r="BJ475" t="s">
        <v>2525</v>
      </c>
      <c r="BK475" t="s">
        <v>2526</v>
      </c>
      <c r="BL475" t="s">
        <v>2525</v>
      </c>
      <c r="BM475" t="s">
        <v>8055</v>
      </c>
      <c r="BN475" t="s">
        <v>74</v>
      </c>
      <c r="BO475" t="s">
        <v>74</v>
      </c>
      <c r="BP475" t="s">
        <v>74</v>
      </c>
      <c r="BQ475" t="s">
        <v>74</v>
      </c>
      <c r="BR475" t="s">
        <v>100</v>
      </c>
      <c r="BS475" t="s">
        <v>8056</v>
      </c>
      <c r="BT475" t="str">
        <f>HYPERLINK("https%3A%2F%2Fwww.webofscience.com%2Fwos%2Fwoscc%2Ffull-record%2FWOS:000260608500005","View Full Record in Web of Science")</f>
        <v>View Full Record in Web of Science</v>
      </c>
    </row>
    <row r="476" spans="1:72" x14ac:dyDescent="0.15">
      <c r="A476" t="s">
        <v>72</v>
      </c>
      <c r="B476" t="s">
        <v>8057</v>
      </c>
      <c r="C476" t="s">
        <v>74</v>
      </c>
      <c r="D476" t="s">
        <v>74</v>
      </c>
      <c r="E476" t="s">
        <v>74</v>
      </c>
      <c r="F476" t="s">
        <v>8058</v>
      </c>
      <c r="G476" t="s">
        <v>74</v>
      </c>
      <c r="H476" t="s">
        <v>74</v>
      </c>
      <c r="I476" t="s">
        <v>8059</v>
      </c>
      <c r="J476" t="s">
        <v>8039</v>
      </c>
      <c r="K476" t="s">
        <v>74</v>
      </c>
      <c r="L476" t="s">
        <v>74</v>
      </c>
      <c r="M476" t="s">
        <v>78</v>
      </c>
      <c r="N476" t="s">
        <v>79</v>
      </c>
      <c r="O476" t="s">
        <v>74</v>
      </c>
      <c r="P476" t="s">
        <v>74</v>
      </c>
      <c r="Q476" t="s">
        <v>74</v>
      </c>
      <c r="R476" t="s">
        <v>74</v>
      </c>
      <c r="S476" t="s">
        <v>74</v>
      </c>
      <c r="T476" t="s">
        <v>8060</v>
      </c>
      <c r="U476" t="s">
        <v>8061</v>
      </c>
      <c r="V476" t="s">
        <v>8062</v>
      </c>
      <c r="W476" t="s">
        <v>8063</v>
      </c>
      <c r="X476" t="s">
        <v>8064</v>
      </c>
      <c r="Y476" t="s">
        <v>8065</v>
      </c>
      <c r="Z476" t="s">
        <v>8066</v>
      </c>
      <c r="AA476" t="s">
        <v>8067</v>
      </c>
      <c r="AB476" t="s">
        <v>8068</v>
      </c>
      <c r="AC476" t="s">
        <v>8069</v>
      </c>
      <c r="AD476" t="s">
        <v>242</v>
      </c>
      <c r="AE476" t="s">
        <v>74</v>
      </c>
      <c r="AF476" t="s">
        <v>74</v>
      </c>
      <c r="AG476">
        <v>17</v>
      </c>
      <c r="AH476">
        <v>2</v>
      </c>
      <c r="AI476">
        <v>2</v>
      </c>
      <c r="AJ476">
        <v>1</v>
      </c>
      <c r="AK476">
        <v>7</v>
      </c>
      <c r="AL476" t="s">
        <v>2518</v>
      </c>
      <c r="AM476" t="s">
        <v>1421</v>
      </c>
      <c r="AN476" t="s">
        <v>8049</v>
      </c>
      <c r="AO476" t="s">
        <v>8050</v>
      </c>
      <c r="AP476" t="s">
        <v>8051</v>
      </c>
      <c r="AQ476" t="s">
        <v>74</v>
      </c>
      <c r="AR476" t="s">
        <v>8052</v>
      </c>
      <c r="AS476" t="s">
        <v>8053</v>
      </c>
      <c r="AT476" t="s">
        <v>74</v>
      </c>
      <c r="AU476">
        <v>2008</v>
      </c>
      <c r="AV476">
        <v>124</v>
      </c>
      <c r="AW476" t="s">
        <v>272</v>
      </c>
      <c r="AX476" t="s">
        <v>74</v>
      </c>
      <c r="AY476" t="s">
        <v>74</v>
      </c>
      <c r="AZ476" t="s">
        <v>74</v>
      </c>
      <c r="BA476" t="s">
        <v>74</v>
      </c>
      <c r="BB476">
        <v>211</v>
      </c>
      <c r="BC476">
        <v>217</v>
      </c>
      <c r="BD476" t="s">
        <v>74</v>
      </c>
      <c r="BE476" t="s">
        <v>8070</v>
      </c>
      <c r="BF476" t="str">
        <f>HYPERLINK("http://dx.doi.org/10.1080/14702540802411840","http://dx.doi.org/10.1080/14702540802411840")</f>
        <v>http://dx.doi.org/10.1080/14702540802411840</v>
      </c>
      <c r="BG476" t="s">
        <v>74</v>
      </c>
      <c r="BH476" t="s">
        <v>74</v>
      </c>
      <c r="BI476">
        <v>7</v>
      </c>
      <c r="BJ476" t="s">
        <v>2525</v>
      </c>
      <c r="BK476" t="s">
        <v>2526</v>
      </c>
      <c r="BL476" t="s">
        <v>2525</v>
      </c>
      <c r="BM476" t="s">
        <v>8055</v>
      </c>
      <c r="BN476" t="s">
        <v>74</v>
      </c>
      <c r="BO476" t="s">
        <v>250</v>
      </c>
      <c r="BP476" t="s">
        <v>74</v>
      </c>
      <c r="BQ476" t="s">
        <v>74</v>
      </c>
      <c r="BR476" t="s">
        <v>100</v>
      </c>
      <c r="BS476" t="s">
        <v>8071</v>
      </c>
      <c r="BT476" t="str">
        <f>HYPERLINK("https%3A%2F%2Fwww.webofscience.com%2Fwos%2Fwoscc%2Ffull-record%2FWOS:000260608500011","View Full Record in Web of Science")</f>
        <v>View Full Record in Web of Science</v>
      </c>
    </row>
    <row r="477" spans="1:72" x14ac:dyDescent="0.15">
      <c r="A477" t="s">
        <v>810</v>
      </c>
      <c r="B477" t="s">
        <v>8072</v>
      </c>
      <c r="C477" t="s">
        <v>74</v>
      </c>
      <c r="D477" t="s">
        <v>8073</v>
      </c>
      <c r="E477" t="s">
        <v>74</v>
      </c>
      <c r="F477" t="s">
        <v>8074</v>
      </c>
      <c r="G477" t="s">
        <v>74</v>
      </c>
      <c r="H477" t="s">
        <v>74</v>
      </c>
      <c r="I477" t="s">
        <v>8075</v>
      </c>
      <c r="J477" t="s">
        <v>8076</v>
      </c>
      <c r="K477" t="s">
        <v>74</v>
      </c>
      <c r="L477" t="s">
        <v>74</v>
      </c>
      <c r="M477" t="s">
        <v>78</v>
      </c>
      <c r="N477" t="s">
        <v>1524</v>
      </c>
      <c r="O477" t="s">
        <v>74</v>
      </c>
      <c r="P477" t="s">
        <v>74</v>
      </c>
      <c r="Q477" t="s">
        <v>74</v>
      </c>
      <c r="R477" t="s">
        <v>74</v>
      </c>
      <c r="S477" t="s">
        <v>74</v>
      </c>
      <c r="T477" t="s">
        <v>74</v>
      </c>
      <c r="U477" t="s">
        <v>8077</v>
      </c>
      <c r="V477" t="s">
        <v>74</v>
      </c>
      <c r="W477" t="s">
        <v>8078</v>
      </c>
      <c r="X477" t="s">
        <v>8079</v>
      </c>
      <c r="Y477" t="s">
        <v>8080</v>
      </c>
      <c r="Z477" t="s">
        <v>74</v>
      </c>
      <c r="AA477" t="s">
        <v>74</v>
      </c>
      <c r="AB477" t="s">
        <v>8081</v>
      </c>
      <c r="AC477" t="s">
        <v>74</v>
      </c>
      <c r="AD477" t="s">
        <v>74</v>
      </c>
      <c r="AE477" t="s">
        <v>74</v>
      </c>
      <c r="AF477" t="s">
        <v>74</v>
      </c>
      <c r="AG477">
        <v>97</v>
      </c>
      <c r="AH477">
        <v>3</v>
      </c>
      <c r="AI477">
        <v>3</v>
      </c>
      <c r="AJ477">
        <v>0</v>
      </c>
      <c r="AK477">
        <v>11</v>
      </c>
      <c r="AL477" t="s">
        <v>8082</v>
      </c>
      <c r="AM477" t="s">
        <v>8083</v>
      </c>
      <c r="AN477" t="s">
        <v>8084</v>
      </c>
      <c r="AO477" t="s">
        <v>74</v>
      </c>
      <c r="AP477" t="s">
        <v>74</v>
      </c>
      <c r="AQ477" t="s">
        <v>8085</v>
      </c>
      <c r="AR477" t="s">
        <v>74</v>
      </c>
      <c r="AS477" t="s">
        <v>74</v>
      </c>
      <c r="AT477" t="s">
        <v>74</v>
      </c>
      <c r="AU477">
        <v>2008</v>
      </c>
      <c r="AV477" t="s">
        <v>74</v>
      </c>
      <c r="AW477" t="s">
        <v>74</v>
      </c>
      <c r="AX477" t="s">
        <v>74</v>
      </c>
      <c r="AY477" t="s">
        <v>74</v>
      </c>
      <c r="AZ477" t="s">
        <v>74</v>
      </c>
      <c r="BA477" t="s">
        <v>74</v>
      </c>
      <c r="BB477">
        <v>83</v>
      </c>
      <c r="BC477">
        <v>94</v>
      </c>
      <c r="BD477" t="s">
        <v>74</v>
      </c>
      <c r="BE477" t="s">
        <v>74</v>
      </c>
      <c r="BF477" t="s">
        <v>74</v>
      </c>
      <c r="BG477" t="s">
        <v>74</v>
      </c>
      <c r="BH477" t="s">
        <v>74</v>
      </c>
      <c r="BI477">
        <v>12</v>
      </c>
      <c r="BJ477" t="s">
        <v>4825</v>
      </c>
      <c r="BK477" t="s">
        <v>1537</v>
      </c>
      <c r="BL477" t="s">
        <v>4825</v>
      </c>
      <c r="BM477" t="s">
        <v>8086</v>
      </c>
      <c r="BN477" t="s">
        <v>74</v>
      </c>
      <c r="BO477" t="s">
        <v>74</v>
      </c>
      <c r="BP477" t="s">
        <v>74</v>
      </c>
      <c r="BQ477" t="s">
        <v>74</v>
      </c>
      <c r="BR477" t="s">
        <v>100</v>
      </c>
      <c r="BS477" t="s">
        <v>8087</v>
      </c>
      <c r="BT477" t="str">
        <f>HYPERLINK("https%3A%2F%2Fwww.webofscience.com%2Fwos%2Fwoscc%2Ffull-record%2FWOS:000293958400006","View Full Record in Web of Science")</f>
        <v>View Full Record in Web of Science</v>
      </c>
    </row>
    <row r="478" spans="1:72" x14ac:dyDescent="0.15">
      <c r="A478" t="s">
        <v>72</v>
      </c>
      <c r="B478" t="s">
        <v>8088</v>
      </c>
      <c r="C478" t="s">
        <v>74</v>
      </c>
      <c r="D478" t="s">
        <v>74</v>
      </c>
      <c r="E478" t="s">
        <v>74</v>
      </c>
      <c r="F478" t="s">
        <v>8089</v>
      </c>
      <c r="G478" t="s">
        <v>74</v>
      </c>
      <c r="H478" t="s">
        <v>74</v>
      </c>
      <c r="I478" t="s">
        <v>8090</v>
      </c>
      <c r="J478" t="s">
        <v>8091</v>
      </c>
      <c r="K478" t="s">
        <v>74</v>
      </c>
      <c r="L478" t="s">
        <v>74</v>
      </c>
      <c r="M478" t="s">
        <v>78</v>
      </c>
      <c r="N478" t="s">
        <v>106</v>
      </c>
      <c r="O478" t="s">
        <v>74</v>
      </c>
      <c r="P478" t="s">
        <v>74</v>
      </c>
      <c r="Q478" t="s">
        <v>74</v>
      </c>
      <c r="R478" t="s">
        <v>74</v>
      </c>
      <c r="S478" t="s">
        <v>74</v>
      </c>
      <c r="T478" t="s">
        <v>8092</v>
      </c>
      <c r="U478" t="s">
        <v>8093</v>
      </c>
      <c r="V478" t="s">
        <v>8094</v>
      </c>
      <c r="W478" t="s">
        <v>8095</v>
      </c>
      <c r="X478" t="s">
        <v>8096</v>
      </c>
      <c r="Y478" t="s">
        <v>8097</v>
      </c>
      <c r="Z478" t="s">
        <v>8098</v>
      </c>
      <c r="AA478" t="s">
        <v>74</v>
      </c>
      <c r="AB478" t="s">
        <v>74</v>
      </c>
      <c r="AC478" t="s">
        <v>8099</v>
      </c>
      <c r="AD478" t="s">
        <v>116</v>
      </c>
      <c r="AE478" t="s">
        <v>74</v>
      </c>
      <c r="AF478" t="s">
        <v>74</v>
      </c>
      <c r="AG478">
        <v>157</v>
      </c>
      <c r="AH478">
        <v>47</v>
      </c>
      <c r="AI478">
        <v>58</v>
      </c>
      <c r="AJ478">
        <v>5</v>
      </c>
      <c r="AK478">
        <v>82</v>
      </c>
      <c r="AL478" t="s">
        <v>521</v>
      </c>
      <c r="AM478" t="s">
        <v>522</v>
      </c>
      <c r="AN478" t="s">
        <v>523</v>
      </c>
      <c r="AO478" t="s">
        <v>8100</v>
      </c>
      <c r="AP478" t="s">
        <v>8101</v>
      </c>
      <c r="AQ478" t="s">
        <v>74</v>
      </c>
      <c r="AR478" t="s">
        <v>8102</v>
      </c>
      <c r="AS478" t="s">
        <v>8103</v>
      </c>
      <c r="AT478" t="s">
        <v>1490</v>
      </c>
      <c r="AU478">
        <v>2008</v>
      </c>
      <c r="AV478">
        <v>40</v>
      </c>
      <c r="AW478">
        <v>1</v>
      </c>
      <c r="AX478" t="s">
        <v>74</v>
      </c>
      <c r="AY478" t="s">
        <v>74</v>
      </c>
      <c r="AZ478" t="s">
        <v>74</v>
      </c>
      <c r="BA478" t="s">
        <v>74</v>
      </c>
      <c r="BB478">
        <v>11</v>
      </c>
      <c r="BC478">
        <v>29</v>
      </c>
      <c r="BD478" t="s">
        <v>74</v>
      </c>
      <c r="BE478" t="s">
        <v>8104</v>
      </c>
      <c r="BF478" t="str">
        <f>HYPERLINK("http://dx.doi.org/10.1016/j.soilbio.2007.07.023","http://dx.doi.org/10.1016/j.soilbio.2007.07.023")</f>
        <v>http://dx.doi.org/10.1016/j.soilbio.2007.07.023</v>
      </c>
      <c r="BG478" t="s">
        <v>74</v>
      </c>
      <c r="BH478" t="s">
        <v>74</v>
      </c>
      <c r="BI478">
        <v>19</v>
      </c>
      <c r="BJ478" t="s">
        <v>8105</v>
      </c>
      <c r="BK478" t="s">
        <v>97</v>
      </c>
      <c r="BL478" t="s">
        <v>7760</v>
      </c>
      <c r="BM478" t="s">
        <v>8106</v>
      </c>
      <c r="BN478" t="s">
        <v>74</v>
      </c>
      <c r="BO478" t="s">
        <v>74</v>
      </c>
      <c r="BP478" t="s">
        <v>74</v>
      </c>
      <c r="BQ478" t="s">
        <v>74</v>
      </c>
      <c r="BR478" t="s">
        <v>100</v>
      </c>
      <c r="BS478" t="s">
        <v>8107</v>
      </c>
      <c r="BT478" t="str">
        <f>HYPERLINK("https%3A%2F%2Fwww.webofscience.com%2Fwos%2Fwoscc%2Ffull-record%2FWOS:000251242000003","View Full Record in Web of Science")</f>
        <v>View Full Record in Web of Science</v>
      </c>
    </row>
    <row r="479" spans="1:72" x14ac:dyDescent="0.15">
      <c r="A479" t="s">
        <v>72</v>
      </c>
      <c r="B479" t="s">
        <v>8108</v>
      </c>
      <c r="C479" t="s">
        <v>74</v>
      </c>
      <c r="D479" t="s">
        <v>74</v>
      </c>
      <c r="E479" t="s">
        <v>74</v>
      </c>
      <c r="F479" t="s">
        <v>8109</v>
      </c>
      <c r="G479" t="s">
        <v>74</v>
      </c>
      <c r="H479" t="s">
        <v>74</v>
      </c>
      <c r="I479" t="s">
        <v>8110</v>
      </c>
      <c r="J479" t="s">
        <v>8111</v>
      </c>
      <c r="K479" t="s">
        <v>74</v>
      </c>
      <c r="L479" t="s">
        <v>74</v>
      </c>
      <c r="M479" t="s">
        <v>78</v>
      </c>
      <c r="N479" t="s">
        <v>79</v>
      </c>
      <c r="O479" t="s">
        <v>74</v>
      </c>
      <c r="P479" t="s">
        <v>74</v>
      </c>
      <c r="Q479" t="s">
        <v>74</v>
      </c>
      <c r="R479" t="s">
        <v>74</v>
      </c>
      <c r="S479" t="s">
        <v>74</v>
      </c>
      <c r="T479" t="s">
        <v>74</v>
      </c>
      <c r="U479" t="s">
        <v>8112</v>
      </c>
      <c r="V479" t="s">
        <v>8113</v>
      </c>
      <c r="W479" t="s">
        <v>8114</v>
      </c>
      <c r="X479" t="s">
        <v>8115</v>
      </c>
      <c r="Y479" t="s">
        <v>8116</v>
      </c>
      <c r="Z479" t="s">
        <v>74</v>
      </c>
      <c r="AA479" t="s">
        <v>8117</v>
      </c>
      <c r="AB479" t="s">
        <v>8118</v>
      </c>
      <c r="AC479" t="s">
        <v>74</v>
      </c>
      <c r="AD479" t="s">
        <v>74</v>
      </c>
      <c r="AE479" t="s">
        <v>74</v>
      </c>
      <c r="AF479" t="s">
        <v>74</v>
      </c>
      <c r="AG479">
        <v>64</v>
      </c>
      <c r="AH479">
        <v>21</v>
      </c>
      <c r="AI479">
        <v>22</v>
      </c>
      <c r="AJ479">
        <v>0</v>
      </c>
      <c r="AK479">
        <v>6</v>
      </c>
      <c r="AL479" t="s">
        <v>2518</v>
      </c>
      <c r="AM479" t="s">
        <v>1421</v>
      </c>
      <c r="AN479" t="s">
        <v>8049</v>
      </c>
      <c r="AO479" t="s">
        <v>8119</v>
      </c>
      <c r="AP479" t="s">
        <v>8120</v>
      </c>
      <c r="AQ479" t="s">
        <v>74</v>
      </c>
      <c r="AR479" t="s">
        <v>8121</v>
      </c>
      <c r="AS479" t="s">
        <v>8122</v>
      </c>
      <c r="AT479" t="s">
        <v>74</v>
      </c>
      <c r="AU479">
        <v>2008</v>
      </c>
      <c r="AV479">
        <v>90</v>
      </c>
      <c r="AW479">
        <v>1</v>
      </c>
      <c r="AX479" t="s">
        <v>74</v>
      </c>
      <c r="AY479" t="s">
        <v>74</v>
      </c>
      <c r="AZ479" t="s">
        <v>74</v>
      </c>
      <c r="BA479" t="s">
        <v>74</v>
      </c>
      <c r="BB479">
        <v>11</v>
      </c>
      <c r="BC479">
        <v>21</v>
      </c>
      <c r="BD479" t="s">
        <v>74</v>
      </c>
      <c r="BE479" t="s">
        <v>8123</v>
      </c>
      <c r="BF479" t="str">
        <f>HYPERLINK("http://dx.doi.org/10.1080/03736245.2008.9725307","http://dx.doi.org/10.1080/03736245.2008.9725307")</f>
        <v>http://dx.doi.org/10.1080/03736245.2008.9725307</v>
      </c>
      <c r="BG479" t="s">
        <v>74</v>
      </c>
      <c r="BH479" t="s">
        <v>74</v>
      </c>
      <c r="BI479">
        <v>11</v>
      </c>
      <c r="BJ479" t="s">
        <v>2525</v>
      </c>
      <c r="BK479" t="s">
        <v>2526</v>
      </c>
      <c r="BL479" t="s">
        <v>2525</v>
      </c>
      <c r="BM479" t="s">
        <v>8124</v>
      </c>
      <c r="BN479" t="s">
        <v>74</v>
      </c>
      <c r="BO479" t="s">
        <v>74</v>
      </c>
      <c r="BP479" t="s">
        <v>74</v>
      </c>
      <c r="BQ479" t="s">
        <v>74</v>
      </c>
      <c r="BR479" t="s">
        <v>100</v>
      </c>
      <c r="BS479" t="s">
        <v>8125</v>
      </c>
      <c r="BT479" t="str">
        <f>HYPERLINK("https%3A%2F%2Fwww.webofscience.com%2Fwos%2Fwoscc%2Ffull-record%2FWOS:000256807500002","View Full Record in Web of Science")</f>
        <v>View Full Record in Web of Science</v>
      </c>
    </row>
    <row r="480" spans="1:72" x14ac:dyDescent="0.15">
      <c r="A480" t="s">
        <v>72</v>
      </c>
      <c r="B480" t="s">
        <v>8126</v>
      </c>
      <c r="C480" t="s">
        <v>74</v>
      </c>
      <c r="D480" t="s">
        <v>74</v>
      </c>
      <c r="E480" t="s">
        <v>74</v>
      </c>
      <c r="F480" t="s">
        <v>8127</v>
      </c>
      <c r="G480" t="s">
        <v>74</v>
      </c>
      <c r="H480" t="s">
        <v>74</v>
      </c>
      <c r="I480" t="s">
        <v>8128</v>
      </c>
      <c r="J480" t="s">
        <v>8129</v>
      </c>
      <c r="K480" t="s">
        <v>74</v>
      </c>
      <c r="L480" t="s">
        <v>74</v>
      </c>
      <c r="M480" t="s">
        <v>8130</v>
      </c>
      <c r="N480" t="s">
        <v>79</v>
      </c>
      <c r="O480" t="s">
        <v>74</v>
      </c>
      <c r="P480" t="s">
        <v>74</v>
      </c>
      <c r="Q480" t="s">
        <v>74</v>
      </c>
      <c r="R480" t="s">
        <v>74</v>
      </c>
      <c r="S480" t="s">
        <v>74</v>
      </c>
      <c r="T480" t="s">
        <v>74</v>
      </c>
      <c r="U480" t="s">
        <v>74</v>
      </c>
      <c r="V480" t="s">
        <v>8131</v>
      </c>
      <c r="W480" t="s">
        <v>74</v>
      </c>
      <c r="X480" t="s">
        <v>74</v>
      </c>
      <c r="Y480" t="s">
        <v>74</v>
      </c>
      <c r="Z480" t="s">
        <v>74</v>
      </c>
      <c r="AA480" t="s">
        <v>1613</v>
      </c>
      <c r="AB480" t="s">
        <v>8132</v>
      </c>
      <c r="AC480" t="s">
        <v>74</v>
      </c>
      <c r="AD480" t="s">
        <v>74</v>
      </c>
      <c r="AE480" t="s">
        <v>74</v>
      </c>
      <c r="AF480" t="s">
        <v>74</v>
      </c>
      <c r="AG480">
        <v>27</v>
      </c>
      <c r="AH480">
        <v>0</v>
      </c>
      <c r="AI480">
        <v>0</v>
      </c>
      <c r="AJ480">
        <v>0</v>
      </c>
      <c r="AK480">
        <v>1</v>
      </c>
      <c r="AL480" t="s">
        <v>8133</v>
      </c>
      <c r="AM480" t="s">
        <v>8134</v>
      </c>
      <c r="AN480" t="s">
        <v>8135</v>
      </c>
      <c r="AO480" t="s">
        <v>8136</v>
      </c>
      <c r="AP480" t="s">
        <v>8137</v>
      </c>
      <c r="AQ480" t="s">
        <v>74</v>
      </c>
      <c r="AR480" t="s">
        <v>8138</v>
      </c>
      <c r="AS480" t="s">
        <v>8139</v>
      </c>
      <c r="AT480" t="s">
        <v>74</v>
      </c>
      <c r="AU480">
        <v>2008</v>
      </c>
      <c r="AV480">
        <v>14</v>
      </c>
      <c r="AW480">
        <v>4</v>
      </c>
      <c r="AX480" t="s">
        <v>74</v>
      </c>
      <c r="AY480" t="s">
        <v>74</v>
      </c>
      <c r="AZ480" t="s">
        <v>74</v>
      </c>
      <c r="BA480" t="s">
        <v>74</v>
      </c>
      <c r="BB480">
        <v>58</v>
      </c>
      <c r="BC480">
        <v>71</v>
      </c>
      <c r="BD480" t="s">
        <v>74</v>
      </c>
      <c r="BE480" t="s">
        <v>8140</v>
      </c>
      <c r="BF480" t="str">
        <f>HYPERLINK("http://dx.doi.org/10.15407/knit2008.04.058","http://dx.doi.org/10.15407/knit2008.04.058")</f>
        <v>http://dx.doi.org/10.15407/knit2008.04.058</v>
      </c>
      <c r="BG480" t="s">
        <v>74</v>
      </c>
      <c r="BH480" t="s">
        <v>74</v>
      </c>
      <c r="BI480">
        <v>14</v>
      </c>
      <c r="BJ480" t="s">
        <v>351</v>
      </c>
      <c r="BK480" t="s">
        <v>2166</v>
      </c>
      <c r="BL480" t="s">
        <v>351</v>
      </c>
      <c r="BM480" t="s">
        <v>8141</v>
      </c>
      <c r="BN480" t="s">
        <v>74</v>
      </c>
      <c r="BO480" t="s">
        <v>179</v>
      </c>
      <c r="BP480" t="s">
        <v>74</v>
      </c>
      <c r="BQ480" t="s">
        <v>74</v>
      </c>
      <c r="BR480" t="s">
        <v>100</v>
      </c>
      <c r="BS480" t="s">
        <v>8142</v>
      </c>
      <c r="BT480" t="str">
        <f>HYPERLINK("https%3A%2F%2Fwww.webofscience.com%2Fwos%2Fwoscc%2Ffull-record%2FWOS:000440091400006","View Full Record in Web of Science")</f>
        <v>View Full Record in Web of Science</v>
      </c>
    </row>
    <row r="481" spans="1:72" x14ac:dyDescent="0.15">
      <c r="A481" t="s">
        <v>72</v>
      </c>
      <c r="B481" t="s">
        <v>8143</v>
      </c>
      <c r="C481" t="s">
        <v>74</v>
      </c>
      <c r="D481" t="s">
        <v>74</v>
      </c>
      <c r="E481" t="s">
        <v>74</v>
      </c>
      <c r="F481" t="s">
        <v>8144</v>
      </c>
      <c r="G481" t="s">
        <v>74</v>
      </c>
      <c r="H481" t="s">
        <v>74</v>
      </c>
      <c r="I481" t="s">
        <v>8145</v>
      </c>
      <c r="J481" t="s">
        <v>8129</v>
      </c>
      <c r="K481" t="s">
        <v>74</v>
      </c>
      <c r="L481" t="s">
        <v>74</v>
      </c>
      <c r="M481" t="s">
        <v>8146</v>
      </c>
      <c r="N481" t="s">
        <v>79</v>
      </c>
      <c r="O481" t="s">
        <v>74</v>
      </c>
      <c r="P481" t="s">
        <v>74</v>
      </c>
      <c r="Q481" t="s">
        <v>74</v>
      </c>
      <c r="R481" t="s">
        <v>74</v>
      </c>
      <c r="S481" t="s">
        <v>74</v>
      </c>
      <c r="T481" t="s">
        <v>74</v>
      </c>
      <c r="U481" t="s">
        <v>8147</v>
      </c>
      <c r="V481" t="s">
        <v>8148</v>
      </c>
      <c r="W481" t="s">
        <v>8149</v>
      </c>
      <c r="X481" t="s">
        <v>8150</v>
      </c>
      <c r="Y481" t="s">
        <v>8151</v>
      </c>
      <c r="Z481" t="s">
        <v>74</v>
      </c>
      <c r="AA481" t="s">
        <v>74</v>
      </c>
      <c r="AB481" t="s">
        <v>74</v>
      </c>
      <c r="AC481" t="s">
        <v>74</v>
      </c>
      <c r="AD481" t="s">
        <v>74</v>
      </c>
      <c r="AE481" t="s">
        <v>74</v>
      </c>
      <c r="AF481" t="s">
        <v>74</v>
      </c>
      <c r="AG481">
        <v>20</v>
      </c>
      <c r="AH481">
        <v>0</v>
      </c>
      <c r="AI481">
        <v>0</v>
      </c>
      <c r="AJ481">
        <v>0</v>
      </c>
      <c r="AK481">
        <v>0</v>
      </c>
      <c r="AL481" t="s">
        <v>8133</v>
      </c>
      <c r="AM481" t="s">
        <v>8134</v>
      </c>
      <c r="AN481" t="s">
        <v>8135</v>
      </c>
      <c r="AO481" t="s">
        <v>8136</v>
      </c>
      <c r="AP481" t="s">
        <v>8137</v>
      </c>
      <c r="AQ481" t="s">
        <v>74</v>
      </c>
      <c r="AR481" t="s">
        <v>8138</v>
      </c>
      <c r="AS481" t="s">
        <v>8139</v>
      </c>
      <c r="AT481" t="s">
        <v>74</v>
      </c>
      <c r="AU481">
        <v>2008</v>
      </c>
      <c r="AV481">
        <v>14</v>
      </c>
      <c r="AW481">
        <v>5</v>
      </c>
      <c r="AX481" t="s">
        <v>74</v>
      </c>
      <c r="AY481" t="s">
        <v>74</v>
      </c>
      <c r="AZ481" t="s">
        <v>74</v>
      </c>
      <c r="BA481" t="s">
        <v>74</v>
      </c>
      <c r="BB481">
        <v>74</v>
      </c>
      <c r="BC481">
        <v>84</v>
      </c>
      <c r="BD481" t="s">
        <v>74</v>
      </c>
      <c r="BE481" t="s">
        <v>8152</v>
      </c>
      <c r="BF481" t="str">
        <f>HYPERLINK("http://dx.doi.org/10.15407/knit2008.05.074","http://dx.doi.org/10.15407/knit2008.05.074")</f>
        <v>http://dx.doi.org/10.15407/knit2008.05.074</v>
      </c>
      <c r="BG481" t="s">
        <v>74</v>
      </c>
      <c r="BH481" t="s">
        <v>74</v>
      </c>
      <c r="BI481">
        <v>11</v>
      </c>
      <c r="BJ481" t="s">
        <v>351</v>
      </c>
      <c r="BK481" t="s">
        <v>2166</v>
      </c>
      <c r="BL481" t="s">
        <v>351</v>
      </c>
      <c r="BM481" t="s">
        <v>8153</v>
      </c>
      <c r="BN481" t="s">
        <v>74</v>
      </c>
      <c r="BO481" t="s">
        <v>179</v>
      </c>
      <c r="BP481" t="s">
        <v>74</v>
      </c>
      <c r="BQ481" t="s">
        <v>74</v>
      </c>
      <c r="BR481" t="s">
        <v>100</v>
      </c>
      <c r="BS481" t="s">
        <v>8154</v>
      </c>
      <c r="BT481" t="str">
        <f>HYPERLINK("https%3A%2F%2Fwww.webofscience.com%2Fwos%2Fwoscc%2Ffull-record%2FWOS:000440092600006","View Full Record in Web of Science")</f>
        <v>View Full Record in Web of Science</v>
      </c>
    </row>
    <row r="482" spans="1:72" x14ac:dyDescent="0.15">
      <c r="A482" t="s">
        <v>72</v>
      </c>
      <c r="B482" t="s">
        <v>8155</v>
      </c>
      <c r="C482" t="s">
        <v>74</v>
      </c>
      <c r="D482" t="s">
        <v>74</v>
      </c>
      <c r="E482" t="s">
        <v>74</v>
      </c>
      <c r="F482" t="s">
        <v>8156</v>
      </c>
      <c r="G482" t="s">
        <v>74</v>
      </c>
      <c r="H482" t="s">
        <v>74</v>
      </c>
      <c r="I482" t="s">
        <v>8157</v>
      </c>
      <c r="J482" t="s">
        <v>8158</v>
      </c>
      <c r="K482" t="s">
        <v>74</v>
      </c>
      <c r="L482" t="s">
        <v>74</v>
      </c>
      <c r="M482" t="s">
        <v>78</v>
      </c>
      <c r="N482" t="s">
        <v>79</v>
      </c>
      <c r="O482" t="s">
        <v>74</v>
      </c>
      <c r="P482" t="s">
        <v>74</v>
      </c>
      <c r="Q482" t="s">
        <v>74</v>
      </c>
      <c r="R482" t="s">
        <v>74</v>
      </c>
      <c r="S482" t="s">
        <v>74</v>
      </c>
      <c r="T482" t="s">
        <v>8159</v>
      </c>
      <c r="U482" t="s">
        <v>8160</v>
      </c>
      <c r="V482" t="s">
        <v>8161</v>
      </c>
      <c r="W482" t="s">
        <v>8162</v>
      </c>
      <c r="X482" t="s">
        <v>8163</v>
      </c>
      <c r="Y482" t="s">
        <v>8164</v>
      </c>
      <c r="Z482" t="s">
        <v>8165</v>
      </c>
      <c r="AA482" t="s">
        <v>8166</v>
      </c>
      <c r="AB482" t="s">
        <v>8167</v>
      </c>
      <c r="AC482" t="s">
        <v>74</v>
      </c>
      <c r="AD482" t="s">
        <v>74</v>
      </c>
      <c r="AE482" t="s">
        <v>74</v>
      </c>
      <c r="AF482" t="s">
        <v>74</v>
      </c>
      <c r="AG482">
        <v>40</v>
      </c>
      <c r="AH482">
        <v>15</v>
      </c>
      <c r="AI482">
        <v>15</v>
      </c>
      <c r="AJ482">
        <v>0</v>
      </c>
      <c r="AK482">
        <v>4</v>
      </c>
      <c r="AL482" t="s">
        <v>8168</v>
      </c>
      <c r="AM482" t="s">
        <v>118</v>
      </c>
      <c r="AN482" t="s">
        <v>8169</v>
      </c>
      <c r="AO482" t="s">
        <v>8170</v>
      </c>
      <c r="AP482" t="s">
        <v>74</v>
      </c>
      <c r="AQ482" t="s">
        <v>74</v>
      </c>
      <c r="AR482" t="s">
        <v>8171</v>
      </c>
      <c r="AS482" t="s">
        <v>8172</v>
      </c>
      <c r="AT482" t="s">
        <v>74</v>
      </c>
      <c r="AU482">
        <v>2008</v>
      </c>
      <c r="AV482">
        <v>22</v>
      </c>
      <c r="AW482" t="s">
        <v>272</v>
      </c>
      <c r="AX482" t="s">
        <v>74</v>
      </c>
      <c r="AY482" t="s">
        <v>74</v>
      </c>
      <c r="AZ482" t="s">
        <v>74</v>
      </c>
      <c r="BA482" t="s">
        <v>74</v>
      </c>
      <c r="BB482">
        <v>143</v>
      </c>
      <c r="BC482">
        <v>152</v>
      </c>
      <c r="BD482" t="s">
        <v>74</v>
      </c>
      <c r="BE482" t="s">
        <v>8173</v>
      </c>
      <c r="BF482" t="str">
        <f>HYPERLINK("http://dx.doi.org/10.1155/2008/328463","http://dx.doi.org/10.1155/2008/328463")</f>
        <v>http://dx.doi.org/10.1155/2008/328463</v>
      </c>
      <c r="BG482" t="s">
        <v>74</v>
      </c>
      <c r="BH482" t="s">
        <v>74</v>
      </c>
      <c r="BI482">
        <v>10</v>
      </c>
      <c r="BJ482" t="s">
        <v>8174</v>
      </c>
      <c r="BK482" t="s">
        <v>97</v>
      </c>
      <c r="BL482" t="s">
        <v>8175</v>
      </c>
      <c r="BM482" t="s">
        <v>8176</v>
      </c>
      <c r="BN482" t="s">
        <v>74</v>
      </c>
      <c r="BO482" t="s">
        <v>8177</v>
      </c>
      <c r="BP482" t="s">
        <v>74</v>
      </c>
      <c r="BQ482" t="s">
        <v>74</v>
      </c>
      <c r="BR482" t="s">
        <v>100</v>
      </c>
      <c r="BS482" t="s">
        <v>8178</v>
      </c>
      <c r="BT482" t="str">
        <f>HYPERLINK("https%3A%2F%2Fwww.webofscience.com%2Fwos%2Fwoscc%2Ffull-record%2FWOS:000256194800007","View Full Record in Web of Science")</f>
        <v>View Full Record in Web of Science</v>
      </c>
    </row>
    <row r="483" spans="1:72" x14ac:dyDescent="0.15">
      <c r="A483" t="s">
        <v>1199</v>
      </c>
      <c r="B483" t="s">
        <v>8179</v>
      </c>
      <c r="C483" t="s">
        <v>74</v>
      </c>
      <c r="D483" t="s">
        <v>8180</v>
      </c>
      <c r="E483" t="s">
        <v>74</v>
      </c>
      <c r="F483" t="s">
        <v>8181</v>
      </c>
      <c r="G483" t="s">
        <v>74</v>
      </c>
      <c r="H483" t="s">
        <v>74</v>
      </c>
      <c r="I483" t="s">
        <v>8182</v>
      </c>
      <c r="J483" t="s">
        <v>8183</v>
      </c>
      <c r="K483" t="s">
        <v>4294</v>
      </c>
      <c r="L483" t="s">
        <v>74</v>
      </c>
      <c r="M483" t="s">
        <v>78</v>
      </c>
      <c r="N483" t="s">
        <v>1524</v>
      </c>
      <c r="O483" t="s">
        <v>74</v>
      </c>
      <c r="P483" t="s">
        <v>74</v>
      </c>
      <c r="Q483" t="s">
        <v>74</v>
      </c>
      <c r="R483" t="s">
        <v>74</v>
      </c>
      <c r="S483" t="s">
        <v>74</v>
      </c>
      <c r="T483" t="s">
        <v>74</v>
      </c>
      <c r="U483" t="s">
        <v>8184</v>
      </c>
      <c r="V483" t="s">
        <v>8185</v>
      </c>
      <c r="W483" t="s">
        <v>439</v>
      </c>
      <c r="X483" t="s">
        <v>440</v>
      </c>
      <c r="Y483" t="s">
        <v>8186</v>
      </c>
      <c r="Z483" t="s">
        <v>8187</v>
      </c>
      <c r="AA483" t="s">
        <v>74</v>
      </c>
      <c r="AB483" t="s">
        <v>74</v>
      </c>
      <c r="AC483" t="s">
        <v>74</v>
      </c>
      <c r="AD483" t="s">
        <v>74</v>
      </c>
      <c r="AE483" t="s">
        <v>74</v>
      </c>
      <c r="AF483" t="s">
        <v>74</v>
      </c>
      <c r="AG483">
        <v>80</v>
      </c>
      <c r="AH483">
        <v>53</v>
      </c>
      <c r="AI483">
        <v>60</v>
      </c>
      <c r="AJ483">
        <v>0</v>
      </c>
      <c r="AK483">
        <v>3</v>
      </c>
      <c r="AL483" t="s">
        <v>4303</v>
      </c>
      <c r="AM483" t="s">
        <v>4304</v>
      </c>
      <c r="AN483" t="s">
        <v>4305</v>
      </c>
      <c r="AO483" t="s">
        <v>4306</v>
      </c>
      <c r="AP483" t="s">
        <v>74</v>
      </c>
      <c r="AQ483" t="s">
        <v>8188</v>
      </c>
      <c r="AR483" t="s">
        <v>4308</v>
      </c>
      <c r="AS483" t="s">
        <v>4309</v>
      </c>
      <c r="AT483" t="s">
        <v>74</v>
      </c>
      <c r="AU483">
        <v>2008</v>
      </c>
      <c r="AV483">
        <v>302</v>
      </c>
      <c r="AW483" t="s">
        <v>74</v>
      </c>
      <c r="AX483" t="s">
        <v>74</v>
      </c>
      <c r="AY483" t="s">
        <v>74</v>
      </c>
      <c r="AZ483" t="s">
        <v>74</v>
      </c>
      <c r="BA483" t="s">
        <v>74</v>
      </c>
      <c r="BB483">
        <v>45</v>
      </c>
      <c r="BC483">
        <v>61</v>
      </c>
      <c r="BD483" t="s">
        <v>74</v>
      </c>
      <c r="BE483" t="s">
        <v>8189</v>
      </c>
      <c r="BF483" t="str">
        <f>HYPERLINK("http://dx.doi.org/10.1144/SP302.4","http://dx.doi.org/10.1144/SP302.4")</f>
        <v>http://dx.doi.org/10.1144/SP302.4</v>
      </c>
      <c r="BG483" t="s">
        <v>74</v>
      </c>
      <c r="BH483" t="s">
        <v>74</v>
      </c>
      <c r="BI483">
        <v>17</v>
      </c>
      <c r="BJ483" t="s">
        <v>8190</v>
      </c>
      <c r="BK483" t="s">
        <v>1537</v>
      </c>
      <c r="BL483" t="s">
        <v>8190</v>
      </c>
      <c r="BM483" t="s">
        <v>8191</v>
      </c>
      <c r="BN483" t="s">
        <v>74</v>
      </c>
      <c r="BO483" t="s">
        <v>2528</v>
      </c>
      <c r="BP483" t="s">
        <v>74</v>
      </c>
      <c r="BQ483" t="s">
        <v>74</v>
      </c>
      <c r="BR483" t="s">
        <v>100</v>
      </c>
      <c r="BS483" t="s">
        <v>8192</v>
      </c>
      <c r="BT483" t="str">
        <f>HYPERLINK("https%3A%2F%2Fwww.webofscience.com%2Fwos%2Fwoscc%2Ffull-record%2FWOS:000267235100004","View Full Record in Web of Science")</f>
        <v>View Full Record in Web of Science</v>
      </c>
    </row>
    <row r="484" spans="1:72" x14ac:dyDescent="0.15">
      <c r="A484" t="s">
        <v>72</v>
      </c>
      <c r="B484" t="s">
        <v>8193</v>
      </c>
      <c r="C484" t="s">
        <v>74</v>
      </c>
      <c r="D484" t="s">
        <v>74</v>
      </c>
      <c r="E484" t="s">
        <v>74</v>
      </c>
      <c r="F484" t="s">
        <v>8194</v>
      </c>
      <c r="G484" t="s">
        <v>74</v>
      </c>
      <c r="H484" t="s">
        <v>74</v>
      </c>
      <c r="I484" t="s">
        <v>8195</v>
      </c>
      <c r="J484" t="s">
        <v>8196</v>
      </c>
      <c r="K484" t="s">
        <v>74</v>
      </c>
      <c r="L484" t="s">
        <v>74</v>
      </c>
      <c r="M484" t="s">
        <v>78</v>
      </c>
      <c r="N484" t="s">
        <v>1602</v>
      </c>
      <c r="O484" t="s">
        <v>8197</v>
      </c>
      <c r="P484" t="s">
        <v>8198</v>
      </c>
      <c r="Q484" t="s">
        <v>8199</v>
      </c>
      <c r="R484" t="s">
        <v>74</v>
      </c>
      <c r="S484" t="s">
        <v>74</v>
      </c>
      <c r="T484" t="s">
        <v>8200</v>
      </c>
      <c r="U484" t="s">
        <v>8201</v>
      </c>
      <c r="V484" t="s">
        <v>8202</v>
      </c>
      <c r="W484" t="s">
        <v>8203</v>
      </c>
      <c r="X484" t="s">
        <v>8204</v>
      </c>
      <c r="Y484" t="s">
        <v>8205</v>
      </c>
      <c r="Z484" t="s">
        <v>8206</v>
      </c>
      <c r="AA484" t="s">
        <v>8207</v>
      </c>
      <c r="AB484" t="s">
        <v>8208</v>
      </c>
      <c r="AC484" t="s">
        <v>74</v>
      </c>
      <c r="AD484" t="s">
        <v>74</v>
      </c>
      <c r="AE484" t="s">
        <v>74</v>
      </c>
      <c r="AF484" t="s">
        <v>74</v>
      </c>
      <c r="AG484">
        <v>84</v>
      </c>
      <c r="AH484">
        <v>130</v>
      </c>
      <c r="AI484">
        <v>137</v>
      </c>
      <c r="AJ484">
        <v>1</v>
      </c>
      <c r="AK484">
        <v>24</v>
      </c>
      <c r="AL484" t="s">
        <v>8209</v>
      </c>
      <c r="AM484" t="s">
        <v>8210</v>
      </c>
      <c r="AN484" t="s">
        <v>8211</v>
      </c>
      <c r="AO484" t="s">
        <v>8212</v>
      </c>
      <c r="AP484" t="s">
        <v>8213</v>
      </c>
      <c r="AQ484" t="s">
        <v>74</v>
      </c>
      <c r="AR484" t="s">
        <v>8214</v>
      </c>
      <c r="AS484" t="s">
        <v>8215</v>
      </c>
      <c r="AT484" t="s">
        <v>74</v>
      </c>
      <c r="AU484">
        <v>2008</v>
      </c>
      <c r="AV484" t="s">
        <v>74</v>
      </c>
      <c r="AW484">
        <v>61</v>
      </c>
      <c r="AX484" t="s">
        <v>74</v>
      </c>
      <c r="AY484" t="s">
        <v>74</v>
      </c>
      <c r="AZ484" t="s">
        <v>74</v>
      </c>
      <c r="BA484" t="s">
        <v>74</v>
      </c>
      <c r="BB484">
        <v>1</v>
      </c>
      <c r="BC484">
        <v>20</v>
      </c>
      <c r="BD484" t="s">
        <v>74</v>
      </c>
      <c r="BE484" t="s">
        <v>8216</v>
      </c>
      <c r="BF484" t="str">
        <f>HYPERLINK("http://dx.doi.org/10.3114/sim.2008.61.01","http://dx.doi.org/10.3114/sim.2008.61.01")</f>
        <v>http://dx.doi.org/10.3114/sim.2008.61.01</v>
      </c>
      <c r="BG484" t="s">
        <v>74</v>
      </c>
      <c r="BH484" t="s">
        <v>74</v>
      </c>
      <c r="BI484">
        <v>20</v>
      </c>
      <c r="BJ484" t="s">
        <v>6819</v>
      </c>
      <c r="BK484" t="s">
        <v>1616</v>
      </c>
      <c r="BL484" t="s">
        <v>6819</v>
      </c>
      <c r="BM484" t="s">
        <v>8217</v>
      </c>
      <c r="BN484">
        <v>19287523</v>
      </c>
      <c r="BO484" t="s">
        <v>8218</v>
      </c>
      <c r="BP484" t="s">
        <v>74</v>
      </c>
      <c r="BQ484" t="s">
        <v>74</v>
      </c>
      <c r="BR484" t="s">
        <v>100</v>
      </c>
      <c r="BS484" t="s">
        <v>8219</v>
      </c>
      <c r="BT484" t="str">
        <f>HYPERLINK("https%3A%2F%2Fwww.webofscience.com%2Fwos%2Fwoscc%2Ffull-record%2FWOS:000262296400002","View Full Record in Web of Science")</f>
        <v>View Full Record in Web of Science</v>
      </c>
    </row>
    <row r="485" spans="1:72" x14ac:dyDescent="0.15">
      <c r="A485" t="s">
        <v>72</v>
      </c>
      <c r="B485" t="s">
        <v>8220</v>
      </c>
      <c r="C485" t="s">
        <v>74</v>
      </c>
      <c r="D485" t="s">
        <v>74</v>
      </c>
      <c r="E485" t="s">
        <v>74</v>
      </c>
      <c r="F485" t="s">
        <v>8221</v>
      </c>
      <c r="G485" t="s">
        <v>74</v>
      </c>
      <c r="H485" t="s">
        <v>74</v>
      </c>
      <c r="I485" t="s">
        <v>8222</v>
      </c>
      <c r="J485" t="s">
        <v>8196</v>
      </c>
      <c r="K485" t="s">
        <v>74</v>
      </c>
      <c r="L485" t="s">
        <v>74</v>
      </c>
      <c r="M485" t="s">
        <v>78</v>
      </c>
      <c r="N485" t="s">
        <v>1602</v>
      </c>
      <c r="O485" t="s">
        <v>8197</v>
      </c>
      <c r="P485" t="s">
        <v>8198</v>
      </c>
      <c r="Q485" t="s">
        <v>8199</v>
      </c>
      <c r="R485" t="s">
        <v>74</v>
      </c>
      <c r="S485" t="s">
        <v>74</v>
      </c>
      <c r="T485" t="s">
        <v>8223</v>
      </c>
      <c r="U485" t="s">
        <v>8224</v>
      </c>
      <c r="V485" t="s">
        <v>8225</v>
      </c>
      <c r="W485" t="s">
        <v>8226</v>
      </c>
      <c r="X485" t="s">
        <v>8227</v>
      </c>
      <c r="Y485" t="s">
        <v>8228</v>
      </c>
      <c r="Z485" t="s">
        <v>8229</v>
      </c>
      <c r="AA485" t="s">
        <v>8230</v>
      </c>
      <c r="AB485" t="s">
        <v>8231</v>
      </c>
      <c r="AC485" t="s">
        <v>74</v>
      </c>
      <c r="AD485" t="s">
        <v>74</v>
      </c>
      <c r="AE485" t="s">
        <v>74</v>
      </c>
      <c r="AF485" t="s">
        <v>74</v>
      </c>
      <c r="AG485">
        <v>33</v>
      </c>
      <c r="AH485">
        <v>109</v>
      </c>
      <c r="AI485">
        <v>115</v>
      </c>
      <c r="AJ485">
        <v>0</v>
      </c>
      <c r="AK485">
        <v>25</v>
      </c>
      <c r="AL485" t="s">
        <v>8209</v>
      </c>
      <c r="AM485" t="s">
        <v>8210</v>
      </c>
      <c r="AN485" t="s">
        <v>8211</v>
      </c>
      <c r="AO485" t="s">
        <v>8212</v>
      </c>
      <c r="AP485" t="s">
        <v>8213</v>
      </c>
      <c r="AQ485" t="s">
        <v>74</v>
      </c>
      <c r="AR485" t="s">
        <v>8214</v>
      </c>
      <c r="AS485" t="s">
        <v>8215</v>
      </c>
      <c r="AT485" t="s">
        <v>74</v>
      </c>
      <c r="AU485">
        <v>2008</v>
      </c>
      <c r="AV485" t="s">
        <v>74</v>
      </c>
      <c r="AW485">
        <v>61</v>
      </c>
      <c r="AX485" t="s">
        <v>74</v>
      </c>
      <c r="AY485" t="s">
        <v>74</v>
      </c>
      <c r="AZ485" t="s">
        <v>74</v>
      </c>
      <c r="BA485" t="s">
        <v>74</v>
      </c>
      <c r="BB485">
        <v>99</v>
      </c>
      <c r="BC485">
        <v>109</v>
      </c>
      <c r="BD485" t="s">
        <v>74</v>
      </c>
      <c r="BE485" t="s">
        <v>8232</v>
      </c>
      <c r="BF485" t="str">
        <f>HYPERLINK("http://dx.doi.org/10.3114/sim.2008.61.10","http://dx.doi.org/10.3114/sim.2008.61.10")</f>
        <v>http://dx.doi.org/10.3114/sim.2008.61.10</v>
      </c>
      <c r="BG485" t="s">
        <v>74</v>
      </c>
      <c r="BH485" t="s">
        <v>74</v>
      </c>
      <c r="BI485">
        <v>11</v>
      </c>
      <c r="BJ485" t="s">
        <v>6819</v>
      </c>
      <c r="BK485" t="s">
        <v>1616</v>
      </c>
      <c r="BL485" t="s">
        <v>6819</v>
      </c>
      <c r="BM485" t="s">
        <v>8217</v>
      </c>
      <c r="BN485">
        <v>19287532</v>
      </c>
      <c r="BO485" t="s">
        <v>8233</v>
      </c>
      <c r="BP485" t="s">
        <v>74</v>
      </c>
      <c r="BQ485" t="s">
        <v>74</v>
      </c>
      <c r="BR485" t="s">
        <v>100</v>
      </c>
      <c r="BS485" t="s">
        <v>8234</v>
      </c>
      <c r="BT485" t="str">
        <f>HYPERLINK("https%3A%2F%2Fwww.webofscience.com%2Fwos%2Fwoscc%2Ffull-record%2FWOS:000262296400011","View Full Record in Web of Science")</f>
        <v>View Full Record in Web of Science</v>
      </c>
    </row>
    <row r="486" spans="1:72" x14ac:dyDescent="0.15">
      <c r="A486" t="s">
        <v>72</v>
      </c>
      <c r="B486" t="s">
        <v>8235</v>
      </c>
      <c r="C486" t="s">
        <v>74</v>
      </c>
      <c r="D486" t="s">
        <v>74</v>
      </c>
      <c r="E486" t="s">
        <v>74</v>
      </c>
      <c r="F486" t="s">
        <v>8236</v>
      </c>
      <c r="G486" t="s">
        <v>74</v>
      </c>
      <c r="H486" t="s">
        <v>74</v>
      </c>
      <c r="I486" t="s">
        <v>8237</v>
      </c>
      <c r="J486" t="s">
        <v>8238</v>
      </c>
      <c r="K486" t="s">
        <v>74</v>
      </c>
      <c r="L486" t="s">
        <v>74</v>
      </c>
      <c r="M486" t="s">
        <v>78</v>
      </c>
      <c r="N486" t="s">
        <v>79</v>
      </c>
      <c r="O486" t="s">
        <v>74</v>
      </c>
      <c r="P486" t="s">
        <v>74</v>
      </c>
      <c r="Q486" t="s">
        <v>74</v>
      </c>
      <c r="R486" t="s">
        <v>74</v>
      </c>
      <c r="S486" t="s">
        <v>74</v>
      </c>
      <c r="T486" t="s">
        <v>8239</v>
      </c>
      <c r="U486" t="s">
        <v>8240</v>
      </c>
      <c r="V486" t="s">
        <v>8241</v>
      </c>
      <c r="W486" t="s">
        <v>8242</v>
      </c>
      <c r="X486" t="s">
        <v>8243</v>
      </c>
      <c r="Y486" t="s">
        <v>8244</v>
      </c>
      <c r="Z486" t="s">
        <v>8245</v>
      </c>
      <c r="AA486" t="s">
        <v>74</v>
      </c>
      <c r="AB486" t="s">
        <v>8246</v>
      </c>
      <c r="AC486" t="s">
        <v>8247</v>
      </c>
      <c r="AD486" t="s">
        <v>8248</v>
      </c>
      <c r="AE486" t="s">
        <v>8249</v>
      </c>
      <c r="AF486" t="s">
        <v>74</v>
      </c>
      <c r="AG486">
        <v>94</v>
      </c>
      <c r="AH486">
        <v>47</v>
      </c>
      <c r="AI486">
        <v>57</v>
      </c>
      <c r="AJ486">
        <v>0</v>
      </c>
      <c r="AK486">
        <v>29</v>
      </c>
      <c r="AL486" t="s">
        <v>2678</v>
      </c>
      <c r="AM486" t="s">
        <v>522</v>
      </c>
      <c r="AN486" t="s">
        <v>4192</v>
      </c>
      <c r="AO486" t="s">
        <v>8250</v>
      </c>
      <c r="AP486" t="s">
        <v>8251</v>
      </c>
      <c r="AQ486" t="s">
        <v>74</v>
      </c>
      <c r="AR486" t="s">
        <v>8252</v>
      </c>
      <c r="AS486" t="s">
        <v>8253</v>
      </c>
      <c r="AT486" t="s">
        <v>74</v>
      </c>
      <c r="AU486">
        <v>2008</v>
      </c>
      <c r="AV486">
        <v>57</v>
      </c>
      <c r="AW486">
        <v>6</v>
      </c>
      <c r="AX486" t="s">
        <v>74</v>
      </c>
      <c r="AY486" t="s">
        <v>74</v>
      </c>
      <c r="AZ486" t="s">
        <v>74</v>
      </c>
      <c r="BA486" t="s">
        <v>74</v>
      </c>
      <c r="BB486">
        <v>857</v>
      </c>
      <c r="BC486">
        <v>875</v>
      </c>
      <c r="BD486" t="s">
        <v>8254</v>
      </c>
      <c r="BE486" t="s">
        <v>8255</v>
      </c>
      <c r="BF486" t="str">
        <f>HYPERLINK("http://dx.doi.org/10.1080/10635150802559257","http://dx.doi.org/10.1080/10635150802559257")</f>
        <v>http://dx.doi.org/10.1080/10635150802559257</v>
      </c>
      <c r="BG486" t="s">
        <v>74</v>
      </c>
      <c r="BH486" t="s">
        <v>74</v>
      </c>
      <c r="BI486">
        <v>19</v>
      </c>
      <c r="BJ486" t="s">
        <v>8256</v>
      </c>
      <c r="BK486" t="s">
        <v>97</v>
      </c>
      <c r="BL486" t="s">
        <v>8256</v>
      </c>
      <c r="BM486" t="s">
        <v>8257</v>
      </c>
      <c r="BN486">
        <v>19085329</v>
      </c>
      <c r="BO486" t="s">
        <v>610</v>
      </c>
      <c r="BP486" t="s">
        <v>74</v>
      </c>
      <c r="BQ486" t="s">
        <v>74</v>
      </c>
      <c r="BR486" t="s">
        <v>100</v>
      </c>
      <c r="BS486" t="s">
        <v>8258</v>
      </c>
      <c r="BT486" t="str">
        <f>HYPERLINK("https%3A%2F%2Fwww.webofscience.com%2Fwos%2Fwoscc%2Ffull-record%2FWOS:000261667300004","View Full Record in Web of Science")</f>
        <v>View Full Record in Web of Science</v>
      </c>
    </row>
    <row r="487" spans="1:72" x14ac:dyDescent="0.15">
      <c r="A487" t="s">
        <v>72</v>
      </c>
      <c r="B487" t="s">
        <v>8259</v>
      </c>
      <c r="C487" t="s">
        <v>74</v>
      </c>
      <c r="D487" t="s">
        <v>74</v>
      </c>
      <c r="E487" t="s">
        <v>74</v>
      </c>
      <c r="F487" t="s">
        <v>8260</v>
      </c>
      <c r="G487" t="s">
        <v>74</v>
      </c>
      <c r="H487" t="s">
        <v>74</v>
      </c>
      <c r="I487" t="s">
        <v>8261</v>
      </c>
      <c r="J487" t="s">
        <v>8262</v>
      </c>
      <c r="K487" t="s">
        <v>74</v>
      </c>
      <c r="L487" t="s">
        <v>74</v>
      </c>
      <c r="M487" t="s">
        <v>78</v>
      </c>
      <c r="N487" t="s">
        <v>79</v>
      </c>
      <c r="O487" t="s">
        <v>74</v>
      </c>
      <c r="P487" t="s">
        <v>74</v>
      </c>
      <c r="Q487" t="s">
        <v>74</v>
      </c>
      <c r="R487" t="s">
        <v>74</v>
      </c>
      <c r="S487" t="s">
        <v>74</v>
      </c>
      <c r="T487" t="s">
        <v>8263</v>
      </c>
      <c r="U487" t="s">
        <v>8264</v>
      </c>
      <c r="V487" t="s">
        <v>8265</v>
      </c>
      <c r="W487" t="s">
        <v>8266</v>
      </c>
      <c r="X487" t="s">
        <v>8267</v>
      </c>
      <c r="Y487" t="s">
        <v>8268</v>
      </c>
      <c r="Z487" t="s">
        <v>8269</v>
      </c>
      <c r="AA487" t="s">
        <v>74</v>
      </c>
      <c r="AB487" t="s">
        <v>74</v>
      </c>
      <c r="AC487" t="s">
        <v>74</v>
      </c>
      <c r="AD487" t="s">
        <v>74</v>
      </c>
      <c r="AE487" t="s">
        <v>74</v>
      </c>
      <c r="AF487" t="s">
        <v>74</v>
      </c>
      <c r="AG487">
        <v>64</v>
      </c>
      <c r="AH487">
        <v>12</v>
      </c>
      <c r="AI487">
        <v>15</v>
      </c>
      <c r="AJ487">
        <v>0</v>
      </c>
      <c r="AK487">
        <v>33</v>
      </c>
      <c r="AL487" t="s">
        <v>2518</v>
      </c>
      <c r="AM487" t="s">
        <v>1421</v>
      </c>
      <c r="AN487" t="s">
        <v>8049</v>
      </c>
      <c r="AO487" t="s">
        <v>8270</v>
      </c>
      <c r="AP487" t="s">
        <v>8271</v>
      </c>
      <c r="AQ487" t="s">
        <v>74</v>
      </c>
      <c r="AR487" t="s">
        <v>8272</v>
      </c>
      <c r="AS487" t="s">
        <v>8273</v>
      </c>
      <c r="AT487" t="s">
        <v>6588</v>
      </c>
      <c r="AU487">
        <v>2008</v>
      </c>
      <c r="AV487">
        <v>20</v>
      </c>
      <c r="AW487">
        <v>1</v>
      </c>
      <c r="AX487" t="s">
        <v>74</v>
      </c>
      <c r="AY487" t="s">
        <v>74</v>
      </c>
      <c r="AZ487" t="s">
        <v>74</v>
      </c>
      <c r="BA487" t="s">
        <v>74</v>
      </c>
      <c r="BB487">
        <v>110</v>
      </c>
      <c r="BC487">
        <v>133</v>
      </c>
      <c r="BD487" t="s">
        <v>74</v>
      </c>
      <c r="BE487" t="s">
        <v>8274</v>
      </c>
      <c r="BF487" t="str">
        <f>HYPERLINK("http://dx.doi.org/10.1080/09546550701723658","http://dx.doi.org/10.1080/09546550701723658")</f>
        <v>http://dx.doi.org/10.1080/09546550701723658</v>
      </c>
      <c r="BG487" t="s">
        <v>74</v>
      </c>
      <c r="BH487" t="s">
        <v>74</v>
      </c>
      <c r="BI487">
        <v>24</v>
      </c>
      <c r="BJ487" t="s">
        <v>8275</v>
      </c>
      <c r="BK487" t="s">
        <v>2526</v>
      </c>
      <c r="BL487" t="s">
        <v>8276</v>
      </c>
      <c r="BM487" t="s">
        <v>8277</v>
      </c>
      <c r="BN487" t="s">
        <v>74</v>
      </c>
      <c r="BO487" t="s">
        <v>74</v>
      </c>
      <c r="BP487" t="s">
        <v>74</v>
      </c>
      <c r="BQ487" t="s">
        <v>74</v>
      </c>
      <c r="BR487" t="s">
        <v>100</v>
      </c>
      <c r="BS487" t="s">
        <v>8278</v>
      </c>
      <c r="BT487" t="str">
        <f>HYPERLINK("https%3A%2F%2Fwww.webofscience.com%2Fwos%2Fwoscc%2Ffull-record%2FWOS:000252891800006","View Full Record in Web of Science")</f>
        <v>View Full Record in Web of Science</v>
      </c>
    </row>
    <row r="488" spans="1:72" x14ac:dyDescent="0.15">
      <c r="A488" t="s">
        <v>72</v>
      </c>
      <c r="B488" t="s">
        <v>8279</v>
      </c>
      <c r="C488" t="s">
        <v>74</v>
      </c>
      <c r="D488" t="s">
        <v>74</v>
      </c>
      <c r="E488" t="s">
        <v>74</v>
      </c>
      <c r="F488" t="s">
        <v>8280</v>
      </c>
      <c r="G488" t="s">
        <v>74</v>
      </c>
      <c r="H488" t="s">
        <v>74</v>
      </c>
      <c r="I488" t="s">
        <v>8281</v>
      </c>
      <c r="J488" t="s">
        <v>8282</v>
      </c>
      <c r="K488" t="s">
        <v>74</v>
      </c>
      <c r="L488" t="s">
        <v>74</v>
      </c>
      <c r="M488" t="s">
        <v>78</v>
      </c>
      <c r="N488" t="s">
        <v>79</v>
      </c>
      <c r="O488" t="s">
        <v>74</v>
      </c>
      <c r="P488" t="s">
        <v>74</v>
      </c>
      <c r="Q488" t="s">
        <v>74</v>
      </c>
      <c r="R488" t="s">
        <v>74</v>
      </c>
      <c r="S488" t="s">
        <v>74</v>
      </c>
      <c r="T488" t="s">
        <v>8283</v>
      </c>
      <c r="U488" t="s">
        <v>74</v>
      </c>
      <c r="V488" t="s">
        <v>8284</v>
      </c>
      <c r="W488" t="s">
        <v>8285</v>
      </c>
      <c r="X488" t="s">
        <v>74</v>
      </c>
      <c r="Y488" t="s">
        <v>8286</v>
      </c>
      <c r="Z488" t="s">
        <v>8287</v>
      </c>
      <c r="AA488" t="s">
        <v>8288</v>
      </c>
      <c r="AB488" t="s">
        <v>8289</v>
      </c>
      <c r="AC488" t="s">
        <v>74</v>
      </c>
      <c r="AD488" t="s">
        <v>74</v>
      </c>
      <c r="AE488" t="s">
        <v>74</v>
      </c>
      <c r="AF488" t="s">
        <v>74</v>
      </c>
      <c r="AG488">
        <v>16</v>
      </c>
      <c r="AH488">
        <v>1</v>
      </c>
      <c r="AI488">
        <v>1</v>
      </c>
      <c r="AJ488">
        <v>0</v>
      </c>
      <c r="AK488">
        <v>0</v>
      </c>
      <c r="AL488" t="s">
        <v>8290</v>
      </c>
      <c r="AM488" t="s">
        <v>8291</v>
      </c>
      <c r="AN488" t="s">
        <v>8292</v>
      </c>
      <c r="AO488" t="s">
        <v>8293</v>
      </c>
      <c r="AP488" t="s">
        <v>8294</v>
      </c>
      <c r="AQ488" t="s">
        <v>74</v>
      </c>
      <c r="AR488" t="s">
        <v>8295</v>
      </c>
      <c r="AS488" t="s">
        <v>8296</v>
      </c>
      <c r="AT488" t="s">
        <v>74</v>
      </c>
      <c r="AU488">
        <v>2008</v>
      </c>
      <c r="AV488" t="s">
        <v>74</v>
      </c>
      <c r="AW488">
        <v>5</v>
      </c>
      <c r="AX488" t="s">
        <v>74</v>
      </c>
      <c r="AY488" t="s">
        <v>74</v>
      </c>
      <c r="AZ488" t="s">
        <v>74</v>
      </c>
      <c r="BA488" t="s">
        <v>74</v>
      </c>
      <c r="BB488">
        <v>47</v>
      </c>
      <c r="BC488">
        <v>57</v>
      </c>
      <c r="BD488" t="s">
        <v>74</v>
      </c>
      <c r="BE488" t="s">
        <v>8297</v>
      </c>
      <c r="BF488" t="str">
        <f>HYPERLINK("http://dx.doi.org/10.3369/tethys.2008.5.05","http://dx.doi.org/10.3369/tethys.2008.5.05")</f>
        <v>http://dx.doi.org/10.3369/tethys.2008.5.05</v>
      </c>
      <c r="BG488" t="s">
        <v>74</v>
      </c>
      <c r="BH488" t="s">
        <v>74</v>
      </c>
      <c r="BI488">
        <v>11</v>
      </c>
      <c r="BJ488" t="s">
        <v>204</v>
      </c>
      <c r="BK488" t="s">
        <v>2166</v>
      </c>
      <c r="BL488" t="s">
        <v>204</v>
      </c>
      <c r="BM488" t="s">
        <v>8298</v>
      </c>
      <c r="BN488" t="s">
        <v>74</v>
      </c>
      <c r="BO488" t="s">
        <v>179</v>
      </c>
      <c r="BP488" t="s">
        <v>74</v>
      </c>
      <c r="BQ488" t="s">
        <v>74</v>
      </c>
      <c r="BR488" t="s">
        <v>100</v>
      </c>
      <c r="BS488" t="s">
        <v>8299</v>
      </c>
      <c r="BT488" t="str">
        <f>HYPERLINK("https%3A%2F%2Fwww.webofscience.com%2Fwos%2Fwoscc%2Ffull-record%2FWOS:000217132700005","View Full Record in Web of Science")</f>
        <v>View Full Record in Web of Science</v>
      </c>
    </row>
    <row r="489" spans="1:72" x14ac:dyDescent="0.15">
      <c r="A489" t="s">
        <v>72</v>
      </c>
      <c r="B489" t="s">
        <v>8300</v>
      </c>
      <c r="C489" t="s">
        <v>74</v>
      </c>
      <c r="D489" t="s">
        <v>74</v>
      </c>
      <c r="E489" t="s">
        <v>74</v>
      </c>
      <c r="F489" t="s">
        <v>8301</v>
      </c>
      <c r="G489" t="s">
        <v>74</v>
      </c>
      <c r="H489" t="s">
        <v>74</v>
      </c>
      <c r="I489" t="s">
        <v>8302</v>
      </c>
      <c r="J489" t="s">
        <v>8303</v>
      </c>
      <c r="K489" t="s">
        <v>74</v>
      </c>
      <c r="L489" t="s">
        <v>74</v>
      </c>
      <c r="M489" t="s">
        <v>78</v>
      </c>
      <c r="N489" t="s">
        <v>79</v>
      </c>
      <c r="O489" t="s">
        <v>74</v>
      </c>
      <c r="P489" t="s">
        <v>74</v>
      </c>
      <c r="Q489" t="s">
        <v>74</v>
      </c>
      <c r="R489" t="s">
        <v>74</v>
      </c>
      <c r="S489" t="s">
        <v>74</v>
      </c>
      <c r="T489" t="s">
        <v>74</v>
      </c>
      <c r="U489" t="s">
        <v>8304</v>
      </c>
      <c r="V489" t="s">
        <v>8305</v>
      </c>
      <c r="W489" t="s">
        <v>8306</v>
      </c>
      <c r="X489" t="s">
        <v>8307</v>
      </c>
      <c r="Y489" t="s">
        <v>8308</v>
      </c>
      <c r="Z489" t="s">
        <v>74</v>
      </c>
      <c r="AA489" t="s">
        <v>74</v>
      </c>
      <c r="AB489" t="s">
        <v>74</v>
      </c>
      <c r="AC489" t="s">
        <v>74</v>
      </c>
      <c r="AD489" t="s">
        <v>74</v>
      </c>
      <c r="AE489" t="s">
        <v>74</v>
      </c>
      <c r="AF489" t="s">
        <v>74</v>
      </c>
      <c r="AG489">
        <v>12</v>
      </c>
      <c r="AH489">
        <v>40</v>
      </c>
      <c r="AI489">
        <v>45</v>
      </c>
      <c r="AJ489">
        <v>1</v>
      </c>
      <c r="AK489">
        <v>12</v>
      </c>
      <c r="AL489" t="s">
        <v>521</v>
      </c>
      <c r="AM489" t="s">
        <v>522</v>
      </c>
      <c r="AN489" t="s">
        <v>523</v>
      </c>
      <c r="AO489" t="s">
        <v>8309</v>
      </c>
      <c r="AP489" t="s">
        <v>74</v>
      </c>
      <c r="AQ489" t="s">
        <v>74</v>
      </c>
      <c r="AR489" t="s">
        <v>8310</v>
      </c>
      <c r="AS489" t="s">
        <v>8311</v>
      </c>
      <c r="AT489" t="s">
        <v>2143</v>
      </c>
      <c r="AU489">
        <v>2008</v>
      </c>
      <c r="AV489">
        <v>49</v>
      </c>
      <c r="AW489">
        <v>1</v>
      </c>
      <c r="AX489" t="s">
        <v>74</v>
      </c>
      <c r="AY489" t="s">
        <v>74</v>
      </c>
      <c r="AZ489" t="s">
        <v>74</v>
      </c>
      <c r="BA489" t="s">
        <v>74</v>
      </c>
      <c r="BB489">
        <v>29</v>
      </c>
      <c r="BC489">
        <v>31</v>
      </c>
      <c r="BD489" t="s">
        <v>74</v>
      </c>
      <c r="BE489" t="s">
        <v>8312</v>
      </c>
      <c r="BF489" t="str">
        <f>HYPERLINK("http://dx.doi.org/10.1016/j.tetlet.2007.11.022","http://dx.doi.org/10.1016/j.tetlet.2007.11.022")</f>
        <v>http://dx.doi.org/10.1016/j.tetlet.2007.11.022</v>
      </c>
      <c r="BG489" t="s">
        <v>74</v>
      </c>
      <c r="BH489" t="s">
        <v>74</v>
      </c>
      <c r="BI489">
        <v>3</v>
      </c>
      <c r="BJ489" t="s">
        <v>8313</v>
      </c>
      <c r="BK489" t="s">
        <v>5213</v>
      </c>
      <c r="BL489" t="s">
        <v>469</v>
      </c>
      <c r="BM489" t="s">
        <v>8314</v>
      </c>
      <c r="BN489" t="s">
        <v>74</v>
      </c>
      <c r="BO489" t="s">
        <v>74</v>
      </c>
      <c r="BP489" t="s">
        <v>74</v>
      </c>
      <c r="BQ489" t="s">
        <v>74</v>
      </c>
      <c r="BR489" t="s">
        <v>100</v>
      </c>
      <c r="BS489" t="s">
        <v>8315</v>
      </c>
      <c r="BT489" t="str">
        <f>HYPERLINK("https%3A%2F%2Fwww.webofscience.com%2Fwos%2Fwoscc%2Ffull-record%2FWOS:000252152500005","View Full Record in Web of Science")</f>
        <v>View Full Record in Web of Science</v>
      </c>
    </row>
    <row r="490" spans="1:72" x14ac:dyDescent="0.15">
      <c r="A490" t="s">
        <v>72</v>
      </c>
      <c r="B490" t="s">
        <v>8316</v>
      </c>
      <c r="C490" t="s">
        <v>74</v>
      </c>
      <c r="D490" t="s">
        <v>74</v>
      </c>
      <c r="E490" t="s">
        <v>74</v>
      </c>
      <c r="F490" t="s">
        <v>8317</v>
      </c>
      <c r="G490" t="s">
        <v>74</v>
      </c>
      <c r="H490" t="s">
        <v>74</v>
      </c>
      <c r="I490" t="s">
        <v>8318</v>
      </c>
      <c r="J490" t="s">
        <v>8319</v>
      </c>
      <c r="K490" t="s">
        <v>74</v>
      </c>
      <c r="L490" t="s">
        <v>74</v>
      </c>
      <c r="M490" t="s">
        <v>78</v>
      </c>
      <c r="N490" t="s">
        <v>79</v>
      </c>
      <c r="O490" t="s">
        <v>74</v>
      </c>
      <c r="P490" t="s">
        <v>74</v>
      </c>
      <c r="Q490" t="s">
        <v>74</v>
      </c>
      <c r="R490" t="s">
        <v>74</v>
      </c>
      <c r="S490" t="s">
        <v>74</v>
      </c>
      <c r="T490" t="s">
        <v>8320</v>
      </c>
      <c r="U490" t="s">
        <v>74</v>
      </c>
      <c r="V490" t="s">
        <v>8321</v>
      </c>
      <c r="W490" t="s">
        <v>8322</v>
      </c>
      <c r="X490" t="s">
        <v>8323</v>
      </c>
      <c r="Y490" t="s">
        <v>8324</v>
      </c>
      <c r="Z490" t="s">
        <v>8325</v>
      </c>
      <c r="AA490" t="s">
        <v>8326</v>
      </c>
      <c r="AB490" t="s">
        <v>8327</v>
      </c>
      <c r="AC490" t="s">
        <v>74</v>
      </c>
      <c r="AD490" t="s">
        <v>74</v>
      </c>
      <c r="AE490" t="s">
        <v>74</v>
      </c>
      <c r="AF490" t="s">
        <v>74</v>
      </c>
      <c r="AG490">
        <v>54</v>
      </c>
      <c r="AH490">
        <v>24</v>
      </c>
      <c r="AI490">
        <v>27</v>
      </c>
      <c r="AJ490">
        <v>0</v>
      </c>
      <c r="AK490">
        <v>5</v>
      </c>
      <c r="AL490" t="s">
        <v>8328</v>
      </c>
      <c r="AM490" t="s">
        <v>8329</v>
      </c>
      <c r="AN490" t="s">
        <v>8330</v>
      </c>
      <c r="AO490" t="s">
        <v>8331</v>
      </c>
      <c r="AP490" t="s">
        <v>8332</v>
      </c>
      <c r="AQ490" t="s">
        <v>74</v>
      </c>
      <c r="AR490" t="s">
        <v>8333</v>
      </c>
      <c r="AS490" t="s">
        <v>8334</v>
      </c>
      <c r="AT490" t="s">
        <v>74</v>
      </c>
      <c r="AU490">
        <v>2008</v>
      </c>
      <c r="AV490">
        <v>63</v>
      </c>
      <c r="AW490">
        <v>1</v>
      </c>
      <c r="AX490" t="s">
        <v>74</v>
      </c>
      <c r="AY490" t="s">
        <v>74</v>
      </c>
      <c r="AZ490" t="s">
        <v>74</v>
      </c>
      <c r="BA490" t="s">
        <v>74</v>
      </c>
      <c r="BB490">
        <v>15</v>
      </c>
      <c r="BC490">
        <v>27</v>
      </c>
      <c r="BD490" t="s">
        <v>74</v>
      </c>
      <c r="BE490" t="s">
        <v>8335</v>
      </c>
      <c r="BF490" t="str">
        <f>HYPERLINK("http://dx.doi.org/10.1108/16605370810861017","http://dx.doi.org/10.1108/16605370810861017")</f>
        <v>http://dx.doi.org/10.1108/16605370810861017</v>
      </c>
      <c r="BG490" t="s">
        <v>74</v>
      </c>
      <c r="BH490" t="s">
        <v>74</v>
      </c>
      <c r="BI490">
        <v>13</v>
      </c>
      <c r="BJ490" t="s">
        <v>8336</v>
      </c>
      <c r="BK490" t="s">
        <v>2166</v>
      </c>
      <c r="BL490" t="s">
        <v>8337</v>
      </c>
      <c r="BM490" t="s">
        <v>8338</v>
      </c>
      <c r="BN490" t="s">
        <v>74</v>
      </c>
      <c r="BO490" t="s">
        <v>74</v>
      </c>
      <c r="BP490" t="s">
        <v>74</v>
      </c>
      <c r="BQ490" t="s">
        <v>74</v>
      </c>
      <c r="BR490" t="s">
        <v>100</v>
      </c>
      <c r="BS490" t="s">
        <v>8339</v>
      </c>
      <c r="BT490" t="str">
        <f>HYPERLINK("https%3A%2F%2Fwww.webofscience.com%2Fwos%2Fwoscc%2Ffull-record%2FWOS:000216226800003","View Full Record in Web of Science")</f>
        <v>View Full Record in Web of Science</v>
      </c>
    </row>
    <row r="491" spans="1:72" x14ac:dyDescent="0.15">
      <c r="A491" t="s">
        <v>1199</v>
      </c>
      <c r="B491" t="s">
        <v>8340</v>
      </c>
      <c r="C491" t="s">
        <v>74</v>
      </c>
      <c r="D491" t="s">
        <v>8341</v>
      </c>
      <c r="E491" t="s">
        <v>74</v>
      </c>
      <c r="F491" t="s">
        <v>8342</v>
      </c>
      <c r="G491" t="s">
        <v>74</v>
      </c>
      <c r="H491" t="s">
        <v>74</v>
      </c>
      <c r="I491" t="s">
        <v>8343</v>
      </c>
      <c r="J491" t="s">
        <v>8344</v>
      </c>
      <c r="K491" t="s">
        <v>8345</v>
      </c>
      <c r="L491" t="s">
        <v>74</v>
      </c>
      <c r="M491" t="s">
        <v>78</v>
      </c>
      <c r="N491" t="s">
        <v>1524</v>
      </c>
      <c r="O491" t="s">
        <v>74</v>
      </c>
      <c r="P491" t="s">
        <v>74</v>
      </c>
      <c r="Q491" t="s">
        <v>74</v>
      </c>
      <c r="R491" t="s">
        <v>74</v>
      </c>
      <c r="S491" t="s">
        <v>74</v>
      </c>
      <c r="T491" t="s">
        <v>74</v>
      </c>
      <c r="U491" t="s">
        <v>8346</v>
      </c>
      <c r="V491" t="s">
        <v>8347</v>
      </c>
      <c r="W491" t="s">
        <v>8348</v>
      </c>
      <c r="X491" t="s">
        <v>8349</v>
      </c>
      <c r="Y491" t="s">
        <v>8350</v>
      </c>
      <c r="Z491" t="s">
        <v>8351</v>
      </c>
      <c r="AA491" t="s">
        <v>8352</v>
      </c>
      <c r="AB491" t="s">
        <v>8353</v>
      </c>
      <c r="AC491" t="s">
        <v>74</v>
      </c>
      <c r="AD491" t="s">
        <v>74</v>
      </c>
      <c r="AE491" t="s">
        <v>74</v>
      </c>
      <c r="AF491" t="s">
        <v>74</v>
      </c>
      <c r="AG491">
        <v>198</v>
      </c>
      <c r="AH491">
        <v>108</v>
      </c>
      <c r="AI491">
        <v>115</v>
      </c>
      <c r="AJ491">
        <v>0</v>
      </c>
      <c r="AK491">
        <v>9</v>
      </c>
      <c r="AL491" t="s">
        <v>5031</v>
      </c>
      <c r="AM491" t="s">
        <v>5032</v>
      </c>
      <c r="AN491" t="s">
        <v>5033</v>
      </c>
      <c r="AO491" t="s">
        <v>8354</v>
      </c>
      <c r="AP491" t="s">
        <v>8355</v>
      </c>
      <c r="AQ491" t="s">
        <v>8356</v>
      </c>
      <c r="AR491" t="s">
        <v>8357</v>
      </c>
      <c r="AS491" t="s">
        <v>74</v>
      </c>
      <c r="AT491" t="s">
        <v>74</v>
      </c>
      <c r="AU491">
        <v>2008</v>
      </c>
      <c r="AV491">
        <v>744</v>
      </c>
      <c r="AW491" t="s">
        <v>74</v>
      </c>
      <c r="AX491" t="s">
        <v>74</v>
      </c>
      <c r="AY491" t="s">
        <v>74</v>
      </c>
      <c r="AZ491" t="s">
        <v>74</v>
      </c>
      <c r="BA491" t="s">
        <v>74</v>
      </c>
      <c r="BB491">
        <v>219</v>
      </c>
      <c r="BC491">
        <v>261</v>
      </c>
      <c r="BD491" t="s">
        <v>74</v>
      </c>
      <c r="BE491" t="s">
        <v>8358</v>
      </c>
      <c r="BF491" t="str">
        <f>HYPERLINK("http://dx.doi.org/10.1007/978-3-540-75215-8_9","http://dx.doi.org/10.1007/978-3-540-75215-8_9")</f>
        <v>http://dx.doi.org/10.1007/978-3-540-75215-8_9</v>
      </c>
      <c r="BG491" t="s">
        <v>8359</v>
      </c>
      <c r="BH491" t="s">
        <v>74</v>
      </c>
      <c r="BI491">
        <v>43</v>
      </c>
      <c r="BJ491" t="s">
        <v>8360</v>
      </c>
      <c r="BK491" t="s">
        <v>1537</v>
      </c>
      <c r="BL491" t="s">
        <v>813</v>
      </c>
      <c r="BM491" t="s">
        <v>8361</v>
      </c>
      <c r="BN491" t="s">
        <v>74</v>
      </c>
      <c r="BO491" t="s">
        <v>74</v>
      </c>
      <c r="BP491" t="s">
        <v>74</v>
      </c>
      <c r="BQ491" t="s">
        <v>74</v>
      </c>
      <c r="BR491" t="s">
        <v>100</v>
      </c>
      <c r="BS491" t="s">
        <v>8362</v>
      </c>
      <c r="BT491" t="str">
        <f>HYPERLINK("https%3A%2F%2Fwww.webofscience.com%2Fwos%2Fwoscc%2Ffull-record%2FWOS:000266831600009","View Full Record in Web of Science")</f>
        <v>View Full Record in Web of Science</v>
      </c>
    </row>
    <row r="492" spans="1:72" x14ac:dyDescent="0.15">
      <c r="A492" t="s">
        <v>1199</v>
      </c>
      <c r="B492" t="s">
        <v>8363</v>
      </c>
      <c r="C492" t="s">
        <v>74</v>
      </c>
      <c r="D492" t="s">
        <v>8364</v>
      </c>
      <c r="E492" t="s">
        <v>74</v>
      </c>
      <c r="F492" t="s">
        <v>8365</v>
      </c>
      <c r="G492" t="s">
        <v>74</v>
      </c>
      <c r="H492" t="s">
        <v>74</v>
      </c>
      <c r="I492" t="s">
        <v>8366</v>
      </c>
      <c r="J492" t="s">
        <v>8367</v>
      </c>
      <c r="K492" t="s">
        <v>8368</v>
      </c>
      <c r="L492" t="s">
        <v>74</v>
      </c>
      <c r="M492" t="s">
        <v>78</v>
      </c>
      <c r="N492" t="s">
        <v>1602</v>
      </c>
      <c r="O492" t="s">
        <v>8369</v>
      </c>
      <c r="P492" t="s">
        <v>8370</v>
      </c>
      <c r="Q492" t="s">
        <v>8371</v>
      </c>
      <c r="R492" t="s">
        <v>74</v>
      </c>
      <c r="S492" t="s">
        <v>74</v>
      </c>
      <c r="T492" t="s">
        <v>8372</v>
      </c>
      <c r="U492" t="s">
        <v>8373</v>
      </c>
      <c r="V492" t="s">
        <v>8374</v>
      </c>
      <c r="W492" t="s">
        <v>8375</v>
      </c>
      <c r="X492" t="s">
        <v>8376</v>
      </c>
      <c r="Y492" t="s">
        <v>8377</v>
      </c>
      <c r="Z492" t="s">
        <v>74</v>
      </c>
      <c r="AA492" t="s">
        <v>74</v>
      </c>
      <c r="AB492" t="s">
        <v>8378</v>
      </c>
      <c r="AC492" t="s">
        <v>8379</v>
      </c>
      <c r="AD492" t="s">
        <v>8380</v>
      </c>
      <c r="AE492" t="s">
        <v>8381</v>
      </c>
      <c r="AF492" t="s">
        <v>74</v>
      </c>
      <c r="AG492">
        <v>61</v>
      </c>
      <c r="AH492">
        <v>12</v>
      </c>
      <c r="AI492">
        <v>14</v>
      </c>
      <c r="AJ492">
        <v>0</v>
      </c>
      <c r="AK492">
        <v>13</v>
      </c>
      <c r="AL492" t="s">
        <v>88</v>
      </c>
      <c r="AM492" t="s">
        <v>5051</v>
      </c>
      <c r="AN492" t="s">
        <v>8382</v>
      </c>
      <c r="AO492" t="s">
        <v>8383</v>
      </c>
      <c r="AP492" t="s">
        <v>74</v>
      </c>
      <c r="AQ492" t="s">
        <v>8384</v>
      </c>
      <c r="AR492" t="s">
        <v>8385</v>
      </c>
      <c r="AS492" t="s">
        <v>8386</v>
      </c>
      <c r="AT492" t="s">
        <v>74</v>
      </c>
      <c r="AU492">
        <v>2008</v>
      </c>
      <c r="AV492">
        <v>1146</v>
      </c>
      <c r="AW492" t="s">
        <v>74</v>
      </c>
      <c r="AX492" t="s">
        <v>74</v>
      </c>
      <c r="AY492" t="s">
        <v>74</v>
      </c>
      <c r="AZ492" t="s">
        <v>74</v>
      </c>
      <c r="BA492" t="s">
        <v>74</v>
      </c>
      <c r="BB492">
        <v>189</v>
      </c>
      <c r="BC492">
        <v>211</v>
      </c>
      <c r="BD492" t="s">
        <v>74</v>
      </c>
      <c r="BE492" t="s">
        <v>8387</v>
      </c>
      <c r="BF492" t="str">
        <f>HYPERLINK("http://dx.doi.org/10.1196/annals.1446.005","http://dx.doi.org/10.1196/annals.1446.005")</f>
        <v>http://dx.doi.org/10.1196/annals.1446.005</v>
      </c>
      <c r="BG492" t="s">
        <v>74</v>
      </c>
      <c r="BH492" t="s">
        <v>74</v>
      </c>
      <c r="BI492">
        <v>23</v>
      </c>
      <c r="BJ492" t="s">
        <v>8388</v>
      </c>
      <c r="BK492" t="s">
        <v>8389</v>
      </c>
      <c r="BL492" t="s">
        <v>8390</v>
      </c>
      <c r="BM492" t="s">
        <v>8391</v>
      </c>
      <c r="BN492">
        <v>19076416</v>
      </c>
      <c r="BO492" t="s">
        <v>179</v>
      </c>
      <c r="BP492" t="s">
        <v>74</v>
      </c>
      <c r="BQ492" t="s">
        <v>74</v>
      </c>
      <c r="BR492" t="s">
        <v>100</v>
      </c>
      <c r="BS492" t="s">
        <v>8392</v>
      </c>
      <c r="BT492" t="str">
        <f>HYPERLINK("https%3A%2F%2Fwww.webofscience.com%2Fwos%2Fwoscc%2Ffull-record%2FWOS:000262400700009","View Full Record in Web of Science")</f>
        <v>View Full Record in Web of Science</v>
      </c>
    </row>
    <row r="493" spans="1:72" x14ac:dyDescent="0.15">
      <c r="A493" t="s">
        <v>1199</v>
      </c>
      <c r="B493" t="s">
        <v>8393</v>
      </c>
      <c r="C493" t="s">
        <v>74</v>
      </c>
      <c r="D493" t="s">
        <v>8394</v>
      </c>
      <c r="E493" t="s">
        <v>74</v>
      </c>
      <c r="F493" t="s">
        <v>8395</v>
      </c>
      <c r="G493" t="s">
        <v>74</v>
      </c>
      <c r="H493" t="s">
        <v>74</v>
      </c>
      <c r="I493" t="s">
        <v>8396</v>
      </c>
      <c r="J493" t="s">
        <v>8397</v>
      </c>
      <c r="K493" t="s">
        <v>8398</v>
      </c>
      <c r="L493" t="s">
        <v>74</v>
      </c>
      <c r="M493" t="s">
        <v>78</v>
      </c>
      <c r="N493" t="s">
        <v>1524</v>
      </c>
      <c r="O493" t="s">
        <v>74</v>
      </c>
      <c r="P493" t="s">
        <v>74</v>
      </c>
      <c r="Q493" t="s">
        <v>74</v>
      </c>
      <c r="R493" t="s">
        <v>74</v>
      </c>
      <c r="S493" t="s">
        <v>74</v>
      </c>
      <c r="T493" t="s">
        <v>74</v>
      </c>
      <c r="U493" t="s">
        <v>8399</v>
      </c>
      <c r="V493" t="s">
        <v>74</v>
      </c>
      <c r="W493" t="s">
        <v>8400</v>
      </c>
      <c r="X493" t="s">
        <v>8401</v>
      </c>
      <c r="Y493" t="s">
        <v>8402</v>
      </c>
      <c r="Z493" t="s">
        <v>8403</v>
      </c>
      <c r="AA493" t="s">
        <v>74</v>
      </c>
      <c r="AB493" t="s">
        <v>74</v>
      </c>
      <c r="AC493" t="s">
        <v>74</v>
      </c>
      <c r="AD493" t="s">
        <v>74</v>
      </c>
      <c r="AE493" t="s">
        <v>74</v>
      </c>
      <c r="AF493" t="s">
        <v>74</v>
      </c>
      <c r="AG493">
        <v>147</v>
      </c>
      <c r="AH493">
        <v>25</v>
      </c>
      <c r="AI493">
        <v>31</v>
      </c>
      <c r="AJ493">
        <v>0</v>
      </c>
      <c r="AK493">
        <v>5</v>
      </c>
      <c r="AL493" t="s">
        <v>506</v>
      </c>
      <c r="AM493" t="s">
        <v>266</v>
      </c>
      <c r="AN493" t="s">
        <v>2120</v>
      </c>
      <c r="AO493" t="s">
        <v>8404</v>
      </c>
      <c r="AP493" t="s">
        <v>74</v>
      </c>
      <c r="AQ493" t="s">
        <v>8405</v>
      </c>
      <c r="AR493" t="s">
        <v>8406</v>
      </c>
      <c r="AS493" t="s">
        <v>74</v>
      </c>
      <c r="AT493" t="s">
        <v>74</v>
      </c>
      <c r="AU493">
        <v>2008</v>
      </c>
      <c r="AV493">
        <v>13</v>
      </c>
      <c r="AW493" t="s">
        <v>74</v>
      </c>
      <c r="AX493" t="s">
        <v>74</v>
      </c>
      <c r="AY493" t="s">
        <v>74</v>
      </c>
      <c r="AZ493" t="s">
        <v>74</v>
      </c>
      <c r="BA493" t="s">
        <v>74</v>
      </c>
      <c r="BB493">
        <v>227</v>
      </c>
      <c r="BC493">
        <v>268</v>
      </c>
      <c r="BD493" t="s">
        <v>74</v>
      </c>
      <c r="BE493" t="s">
        <v>8407</v>
      </c>
      <c r="BF493" t="str">
        <f>HYPERLINK("http://dx.doi.org/10.1016/S1569-4860(07)00007-1","http://dx.doi.org/10.1016/S1569-4860(07)00007-1")</f>
        <v>http://dx.doi.org/10.1016/S1569-4860(07)00007-1</v>
      </c>
      <c r="BG493" t="s">
        <v>74</v>
      </c>
      <c r="BH493" t="s">
        <v>74</v>
      </c>
      <c r="BI493">
        <v>42</v>
      </c>
      <c r="BJ493" t="s">
        <v>8408</v>
      </c>
      <c r="BK493" t="s">
        <v>1537</v>
      </c>
      <c r="BL493" t="s">
        <v>8409</v>
      </c>
      <c r="BM493" t="s">
        <v>8410</v>
      </c>
      <c r="BN493" t="s">
        <v>74</v>
      </c>
      <c r="BO493" t="s">
        <v>74</v>
      </c>
      <c r="BP493" t="s">
        <v>74</v>
      </c>
      <c r="BQ493" t="s">
        <v>74</v>
      </c>
      <c r="BR493" t="s">
        <v>100</v>
      </c>
      <c r="BS493" t="s">
        <v>8411</v>
      </c>
      <c r="BT493" t="str">
        <f>HYPERLINK("https%3A%2F%2Fwww.webofscience.com%2Fwos%2Fwoscc%2Ffull-record%2FWOS:000316552400007","View Full Record in Web of Science")</f>
        <v>View Full Record in Web of Science</v>
      </c>
    </row>
    <row r="494" spans="1:72" x14ac:dyDescent="0.15">
      <c r="A494" t="s">
        <v>1199</v>
      </c>
      <c r="B494" t="s">
        <v>8412</v>
      </c>
      <c r="C494" t="s">
        <v>74</v>
      </c>
      <c r="D494" t="s">
        <v>8394</v>
      </c>
      <c r="E494" t="s">
        <v>74</v>
      </c>
      <c r="F494" t="s">
        <v>8413</v>
      </c>
      <c r="G494" t="s">
        <v>74</v>
      </c>
      <c r="H494" t="s">
        <v>74</v>
      </c>
      <c r="I494" t="s">
        <v>8414</v>
      </c>
      <c r="J494" t="s">
        <v>8397</v>
      </c>
      <c r="K494" t="s">
        <v>8398</v>
      </c>
      <c r="L494" t="s">
        <v>74</v>
      </c>
      <c r="M494" t="s">
        <v>78</v>
      </c>
      <c r="N494" t="s">
        <v>1524</v>
      </c>
      <c r="O494" t="s">
        <v>74</v>
      </c>
      <c r="P494" t="s">
        <v>74</v>
      </c>
      <c r="Q494" t="s">
        <v>74</v>
      </c>
      <c r="R494" t="s">
        <v>74</v>
      </c>
      <c r="S494" t="s">
        <v>74</v>
      </c>
      <c r="T494" t="s">
        <v>74</v>
      </c>
      <c r="U494" t="s">
        <v>8415</v>
      </c>
      <c r="V494" t="s">
        <v>74</v>
      </c>
      <c r="W494" t="s">
        <v>8416</v>
      </c>
      <c r="X494" t="s">
        <v>8417</v>
      </c>
      <c r="Y494" t="s">
        <v>8418</v>
      </c>
      <c r="Z494" t="s">
        <v>8419</v>
      </c>
      <c r="AA494" t="s">
        <v>74</v>
      </c>
      <c r="AB494" t="s">
        <v>74</v>
      </c>
      <c r="AC494" t="s">
        <v>74</v>
      </c>
      <c r="AD494" t="s">
        <v>74</v>
      </c>
      <c r="AE494" t="s">
        <v>74</v>
      </c>
      <c r="AF494" t="s">
        <v>74</v>
      </c>
      <c r="AG494">
        <v>143</v>
      </c>
      <c r="AH494">
        <v>16</v>
      </c>
      <c r="AI494">
        <v>18</v>
      </c>
      <c r="AJ494">
        <v>0</v>
      </c>
      <c r="AK494">
        <v>2</v>
      </c>
      <c r="AL494" t="s">
        <v>506</v>
      </c>
      <c r="AM494" t="s">
        <v>266</v>
      </c>
      <c r="AN494" t="s">
        <v>2120</v>
      </c>
      <c r="AO494" t="s">
        <v>8404</v>
      </c>
      <c r="AP494" t="s">
        <v>74</v>
      </c>
      <c r="AQ494" t="s">
        <v>8405</v>
      </c>
      <c r="AR494" t="s">
        <v>8406</v>
      </c>
      <c r="AS494" t="s">
        <v>74</v>
      </c>
      <c r="AT494" t="s">
        <v>74</v>
      </c>
      <c r="AU494">
        <v>2008</v>
      </c>
      <c r="AV494">
        <v>13</v>
      </c>
      <c r="AW494" t="s">
        <v>74</v>
      </c>
      <c r="AX494" t="s">
        <v>74</v>
      </c>
      <c r="AY494" t="s">
        <v>74</v>
      </c>
      <c r="AZ494" t="s">
        <v>74</v>
      </c>
      <c r="BA494" t="s">
        <v>74</v>
      </c>
      <c r="BB494">
        <v>307</v>
      </c>
      <c r="BC494">
        <v>344</v>
      </c>
      <c r="BD494" t="s">
        <v>74</v>
      </c>
      <c r="BE494" t="s">
        <v>8420</v>
      </c>
      <c r="BF494" t="str">
        <f>HYPERLINK("http://dx.doi.org/10.1016/S1569-4860(07)00009-5","http://dx.doi.org/10.1016/S1569-4860(07)00009-5")</f>
        <v>http://dx.doi.org/10.1016/S1569-4860(07)00009-5</v>
      </c>
      <c r="BG494" t="s">
        <v>74</v>
      </c>
      <c r="BH494" t="s">
        <v>74</v>
      </c>
      <c r="BI494">
        <v>38</v>
      </c>
      <c r="BJ494" t="s">
        <v>8408</v>
      </c>
      <c r="BK494" t="s">
        <v>1537</v>
      </c>
      <c r="BL494" t="s">
        <v>8409</v>
      </c>
      <c r="BM494" t="s">
        <v>8410</v>
      </c>
      <c r="BN494" t="s">
        <v>74</v>
      </c>
      <c r="BO494" t="s">
        <v>74</v>
      </c>
      <c r="BP494" t="s">
        <v>74</v>
      </c>
      <c r="BQ494" t="s">
        <v>74</v>
      </c>
      <c r="BR494" t="s">
        <v>100</v>
      </c>
      <c r="BS494" t="s">
        <v>8421</v>
      </c>
      <c r="BT494" t="str">
        <f>HYPERLINK("https%3A%2F%2Fwww.webofscience.com%2Fwos%2Fwoscc%2Ffull-record%2FWOS:000316552400009","View Full Record in Web of Science")</f>
        <v>View Full Record in Web of Science</v>
      </c>
    </row>
    <row r="495" spans="1:72" x14ac:dyDescent="0.15">
      <c r="A495" t="s">
        <v>1199</v>
      </c>
      <c r="B495" t="s">
        <v>8422</v>
      </c>
      <c r="C495" t="s">
        <v>74</v>
      </c>
      <c r="D495" t="s">
        <v>8423</v>
      </c>
      <c r="E495" t="s">
        <v>74</v>
      </c>
      <c r="F495" t="s">
        <v>8424</v>
      </c>
      <c r="G495" t="s">
        <v>74</v>
      </c>
      <c r="H495" t="s">
        <v>74</v>
      </c>
      <c r="I495" t="s">
        <v>8425</v>
      </c>
      <c r="J495" t="s">
        <v>8426</v>
      </c>
      <c r="K495" t="s">
        <v>4294</v>
      </c>
      <c r="L495" t="s">
        <v>74</v>
      </c>
      <c r="M495" t="s">
        <v>78</v>
      </c>
      <c r="N495" t="s">
        <v>1524</v>
      </c>
      <c r="O495" t="s">
        <v>74</v>
      </c>
      <c r="P495" t="s">
        <v>74</v>
      </c>
      <c r="Q495" t="s">
        <v>74</v>
      </c>
      <c r="R495" t="s">
        <v>74</v>
      </c>
      <c r="S495" t="s">
        <v>74</v>
      </c>
      <c r="T495" t="s">
        <v>74</v>
      </c>
      <c r="U495" t="s">
        <v>8427</v>
      </c>
      <c r="V495" t="s">
        <v>8428</v>
      </c>
      <c r="W495" t="s">
        <v>8429</v>
      </c>
      <c r="X495" t="s">
        <v>8430</v>
      </c>
      <c r="Y495" t="s">
        <v>8431</v>
      </c>
      <c r="Z495" t="s">
        <v>8432</v>
      </c>
      <c r="AA495" t="s">
        <v>8433</v>
      </c>
      <c r="AB495" t="s">
        <v>8434</v>
      </c>
      <c r="AC495" t="s">
        <v>8435</v>
      </c>
      <c r="AD495" t="s">
        <v>8436</v>
      </c>
      <c r="AE495" t="s">
        <v>74</v>
      </c>
      <c r="AF495" t="s">
        <v>74</v>
      </c>
      <c r="AG495">
        <v>90</v>
      </c>
      <c r="AH495">
        <v>227</v>
      </c>
      <c r="AI495">
        <v>235</v>
      </c>
      <c r="AJ495">
        <v>0</v>
      </c>
      <c r="AK495">
        <v>2</v>
      </c>
      <c r="AL495" t="s">
        <v>4303</v>
      </c>
      <c r="AM495" t="s">
        <v>4304</v>
      </c>
      <c r="AN495" t="s">
        <v>4305</v>
      </c>
      <c r="AO495" t="s">
        <v>4306</v>
      </c>
      <c r="AP495" t="s">
        <v>74</v>
      </c>
      <c r="AQ495" t="s">
        <v>8437</v>
      </c>
      <c r="AR495" t="s">
        <v>4308</v>
      </c>
      <c r="AS495" t="s">
        <v>4309</v>
      </c>
      <c r="AT495" t="s">
        <v>74</v>
      </c>
      <c r="AU495">
        <v>2008</v>
      </c>
      <c r="AV495">
        <v>294</v>
      </c>
      <c r="AW495" t="s">
        <v>74</v>
      </c>
      <c r="AX495" t="s">
        <v>74</v>
      </c>
      <c r="AY495" t="s">
        <v>74</v>
      </c>
      <c r="AZ495" t="s">
        <v>74</v>
      </c>
      <c r="BA495" t="s">
        <v>74</v>
      </c>
      <c r="BB495">
        <v>257</v>
      </c>
      <c r="BC495">
        <v>278</v>
      </c>
      <c r="BD495" t="s">
        <v>74</v>
      </c>
      <c r="BE495" t="s">
        <v>8438</v>
      </c>
      <c r="BF495" t="str">
        <f>HYPERLINK("http://dx.doi.org/10.1144/SP294.14","http://dx.doi.org/10.1144/SP294.14")</f>
        <v>http://dx.doi.org/10.1144/SP294.14</v>
      </c>
      <c r="BG495" t="s">
        <v>74</v>
      </c>
      <c r="BH495" t="s">
        <v>74</v>
      </c>
      <c r="BI495">
        <v>22</v>
      </c>
      <c r="BJ495" t="s">
        <v>98</v>
      </c>
      <c r="BK495" t="s">
        <v>1537</v>
      </c>
      <c r="BL495" t="s">
        <v>98</v>
      </c>
      <c r="BM495" t="s">
        <v>8439</v>
      </c>
      <c r="BN495" t="s">
        <v>74</v>
      </c>
      <c r="BO495" t="s">
        <v>74</v>
      </c>
      <c r="BP495" t="s">
        <v>74</v>
      </c>
      <c r="BQ495" t="s">
        <v>74</v>
      </c>
      <c r="BR495" t="s">
        <v>100</v>
      </c>
      <c r="BS495" t="s">
        <v>8440</v>
      </c>
      <c r="BT495" t="str">
        <f>HYPERLINK("https%3A%2F%2Fwww.webofscience.com%2Fwos%2Fwoscc%2Ffull-record%2FWOS:000268051900015","View Full Record in Web of Science")</f>
        <v>View Full Record in Web of Science</v>
      </c>
    </row>
    <row r="496" spans="1:72" x14ac:dyDescent="0.15">
      <c r="A496" t="s">
        <v>72</v>
      </c>
      <c r="B496" t="s">
        <v>8441</v>
      </c>
      <c r="C496" t="s">
        <v>74</v>
      </c>
      <c r="D496" t="s">
        <v>74</v>
      </c>
      <c r="E496" t="s">
        <v>74</v>
      </c>
      <c r="F496" t="s">
        <v>8442</v>
      </c>
      <c r="G496" t="s">
        <v>74</v>
      </c>
      <c r="H496" t="s">
        <v>74</v>
      </c>
      <c r="I496" t="s">
        <v>8443</v>
      </c>
      <c r="J496" t="s">
        <v>8444</v>
      </c>
      <c r="K496" t="s">
        <v>74</v>
      </c>
      <c r="L496" t="s">
        <v>74</v>
      </c>
      <c r="M496" t="s">
        <v>78</v>
      </c>
      <c r="N496" t="s">
        <v>79</v>
      </c>
      <c r="O496" t="s">
        <v>74</v>
      </c>
      <c r="P496" t="s">
        <v>74</v>
      </c>
      <c r="Q496" t="s">
        <v>74</v>
      </c>
      <c r="R496" t="s">
        <v>74</v>
      </c>
      <c r="S496" t="s">
        <v>74</v>
      </c>
      <c r="T496" t="s">
        <v>74</v>
      </c>
      <c r="U496" t="s">
        <v>8445</v>
      </c>
      <c r="V496" t="s">
        <v>8446</v>
      </c>
      <c r="W496" t="s">
        <v>8447</v>
      </c>
      <c r="X496" t="s">
        <v>8448</v>
      </c>
      <c r="Y496" t="s">
        <v>8449</v>
      </c>
      <c r="Z496" t="s">
        <v>8450</v>
      </c>
      <c r="AA496" t="s">
        <v>8451</v>
      </c>
      <c r="AB496" t="s">
        <v>8452</v>
      </c>
      <c r="AC496" t="s">
        <v>74</v>
      </c>
      <c r="AD496" t="s">
        <v>74</v>
      </c>
      <c r="AE496" t="s">
        <v>74</v>
      </c>
      <c r="AF496" t="s">
        <v>74</v>
      </c>
      <c r="AG496">
        <v>15</v>
      </c>
      <c r="AH496">
        <v>35</v>
      </c>
      <c r="AI496">
        <v>41</v>
      </c>
      <c r="AJ496">
        <v>0</v>
      </c>
      <c r="AK496">
        <v>21</v>
      </c>
      <c r="AL496" t="s">
        <v>4017</v>
      </c>
      <c r="AM496" t="s">
        <v>4018</v>
      </c>
      <c r="AN496" t="s">
        <v>4019</v>
      </c>
      <c r="AO496" t="s">
        <v>8453</v>
      </c>
      <c r="AP496" t="s">
        <v>8454</v>
      </c>
      <c r="AQ496" t="s">
        <v>74</v>
      </c>
      <c r="AR496" t="s">
        <v>8455</v>
      </c>
      <c r="AS496" t="s">
        <v>8456</v>
      </c>
      <c r="AT496" t="s">
        <v>74</v>
      </c>
      <c r="AU496">
        <v>2008</v>
      </c>
      <c r="AV496">
        <v>35</v>
      </c>
      <c r="AW496">
        <v>4</v>
      </c>
      <c r="AX496" t="s">
        <v>74</v>
      </c>
      <c r="AY496" t="s">
        <v>74</v>
      </c>
      <c r="AZ496" t="s">
        <v>74</v>
      </c>
      <c r="BA496" t="s">
        <v>74</v>
      </c>
      <c r="BB496">
        <v>275</v>
      </c>
      <c r="BC496">
        <v>288</v>
      </c>
      <c r="BD496" t="s">
        <v>74</v>
      </c>
      <c r="BE496" t="s">
        <v>8457</v>
      </c>
      <c r="BF496" t="str">
        <f>HYPERLINK("http://dx.doi.org/10.1071/WR07077","http://dx.doi.org/10.1071/WR07077")</f>
        <v>http://dx.doi.org/10.1071/WR07077</v>
      </c>
      <c r="BG496" t="s">
        <v>74</v>
      </c>
      <c r="BH496" t="s">
        <v>74</v>
      </c>
      <c r="BI496">
        <v>14</v>
      </c>
      <c r="BJ496" t="s">
        <v>8458</v>
      </c>
      <c r="BK496" t="s">
        <v>97</v>
      </c>
      <c r="BL496" t="s">
        <v>8459</v>
      </c>
      <c r="BM496" t="s">
        <v>8460</v>
      </c>
      <c r="BN496" t="s">
        <v>74</v>
      </c>
      <c r="BO496" t="s">
        <v>250</v>
      </c>
      <c r="BP496" t="s">
        <v>74</v>
      </c>
      <c r="BQ496" t="s">
        <v>74</v>
      </c>
      <c r="BR496" t="s">
        <v>100</v>
      </c>
      <c r="BS496" t="s">
        <v>8461</v>
      </c>
      <c r="BT496" t="str">
        <f>HYPERLINK("https%3A%2F%2Fwww.webofscience.com%2Fwos%2Fwoscc%2Ffull-record%2FWOS:000257140300005","View Full Record in Web of Science")</f>
        <v>View Full Record in Web of Science</v>
      </c>
    </row>
    <row r="497" spans="1:72" x14ac:dyDescent="0.15">
      <c r="A497" t="s">
        <v>72</v>
      </c>
      <c r="B497" t="s">
        <v>8462</v>
      </c>
      <c r="C497" t="s">
        <v>74</v>
      </c>
      <c r="D497" t="s">
        <v>74</v>
      </c>
      <c r="E497" t="s">
        <v>74</v>
      </c>
      <c r="F497" t="s">
        <v>8463</v>
      </c>
      <c r="G497" t="s">
        <v>74</v>
      </c>
      <c r="H497" t="s">
        <v>74</v>
      </c>
      <c r="I497" t="s">
        <v>8464</v>
      </c>
      <c r="J497" t="s">
        <v>8444</v>
      </c>
      <c r="K497" t="s">
        <v>74</v>
      </c>
      <c r="L497" t="s">
        <v>74</v>
      </c>
      <c r="M497" t="s">
        <v>78</v>
      </c>
      <c r="N497" t="s">
        <v>79</v>
      </c>
      <c r="O497" t="s">
        <v>74</v>
      </c>
      <c r="P497" t="s">
        <v>74</v>
      </c>
      <c r="Q497" t="s">
        <v>74</v>
      </c>
      <c r="R497" t="s">
        <v>74</v>
      </c>
      <c r="S497" t="s">
        <v>74</v>
      </c>
      <c r="T497" t="s">
        <v>74</v>
      </c>
      <c r="U497" t="s">
        <v>8465</v>
      </c>
      <c r="V497" t="s">
        <v>8466</v>
      </c>
      <c r="W497" t="s">
        <v>8467</v>
      </c>
      <c r="X497" t="s">
        <v>8468</v>
      </c>
      <c r="Y497" t="s">
        <v>8469</v>
      </c>
      <c r="Z497" t="s">
        <v>8470</v>
      </c>
      <c r="AA497" t="s">
        <v>74</v>
      </c>
      <c r="AB497" t="s">
        <v>74</v>
      </c>
      <c r="AC497" t="s">
        <v>74</v>
      </c>
      <c r="AD497" t="s">
        <v>74</v>
      </c>
      <c r="AE497" t="s">
        <v>74</v>
      </c>
      <c r="AF497" t="s">
        <v>74</v>
      </c>
      <c r="AG497">
        <v>23</v>
      </c>
      <c r="AH497">
        <v>10</v>
      </c>
      <c r="AI497">
        <v>10</v>
      </c>
      <c r="AJ497">
        <v>0</v>
      </c>
      <c r="AK497">
        <v>9</v>
      </c>
      <c r="AL497" t="s">
        <v>4017</v>
      </c>
      <c r="AM497" t="s">
        <v>4018</v>
      </c>
      <c r="AN497" t="s">
        <v>4019</v>
      </c>
      <c r="AO497" t="s">
        <v>8453</v>
      </c>
      <c r="AP497" t="s">
        <v>8454</v>
      </c>
      <c r="AQ497" t="s">
        <v>74</v>
      </c>
      <c r="AR497" t="s">
        <v>8455</v>
      </c>
      <c r="AS497" t="s">
        <v>8456</v>
      </c>
      <c r="AT497" t="s">
        <v>74</v>
      </c>
      <c r="AU497">
        <v>2008</v>
      </c>
      <c r="AV497">
        <v>35</v>
      </c>
      <c r="AW497">
        <v>4</v>
      </c>
      <c r="AX497" t="s">
        <v>74</v>
      </c>
      <c r="AY497" t="s">
        <v>74</v>
      </c>
      <c r="AZ497" t="s">
        <v>74</v>
      </c>
      <c r="BA497" t="s">
        <v>74</v>
      </c>
      <c r="BB497">
        <v>289</v>
      </c>
      <c r="BC497">
        <v>298</v>
      </c>
      <c r="BD497" t="s">
        <v>74</v>
      </c>
      <c r="BE497" t="s">
        <v>8471</v>
      </c>
      <c r="BF497" t="str">
        <f>HYPERLINK("http://dx.doi.org/10.1071/WR07065","http://dx.doi.org/10.1071/WR07065")</f>
        <v>http://dx.doi.org/10.1071/WR07065</v>
      </c>
      <c r="BG497" t="s">
        <v>74</v>
      </c>
      <c r="BH497" t="s">
        <v>74</v>
      </c>
      <c r="BI497">
        <v>10</v>
      </c>
      <c r="BJ497" t="s">
        <v>8458</v>
      </c>
      <c r="BK497" t="s">
        <v>97</v>
      </c>
      <c r="BL497" t="s">
        <v>8459</v>
      </c>
      <c r="BM497" t="s">
        <v>8460</v>
      </c>
      <c r="BN497" t="s">
        <v>74</v>
      </c>
      <c r="BO497" t="s">
        <v>74</v>
      </c>
      <c r="BP497" t="s">
        <v>74</v>
      </c>
      <c r="BQ497" t="s">
        <v>74</v>
      </c>
      <c r="BR497" t="s">
        <v>100</v>
      </c>
      <c r="BS497" t="s">
        <v>8472</v>
      </c>
      <c r="BT497" t="str">
        <f>HYPERLINK("https%3A%2F%2Fwww.webofscience.com%2Fwos%2Fwoscc%2Ffull-record%2FWOS:000257140300006","View Full Record in Web of Science")</f>
        <v>View Full Record in Web of Science</v>
      </c>
    </row>
    <row r="498" spans="1:72" x14ac:dyDescent="0.15">
      <c r="A498" t="s">
        <v>72</v>
      </c>
      <c r="B498" t="s">
        <v>8473</v>
      </c>
      <c r="C498" t="s">
        <v>74</v>
      </c>
      <c r="D498" t="s">
        <v>74</v>
      </c>
      <c r="E498" t="s">
        <v>74</v>
      </c>
      <c r="F498" t="s">
        <v>8474</v>
      </c>
      <c r="G498" t="s">
        <v>74</v>
      </c>
      <c r="H498" t="s">
        <v>74</v>
      </c>
      <c r="I498" t="s">
        <v>8475</v>
      </c>
      <c r="J498" t="s">
        <v>8444</v>
      </c>
      <c r="K498" t="s">
        <v>74</v>
      </c>
      <c r="L498" t="s">
        <v>74</v>
      </c>
      <c r="M498" t="s">
        <v>78</v>
      </c>
      <c r="N498" t="s">
        <v>79</v>
      </c>
      <c r="O498" t="s">
        <v>74</v>
      </c>
      <c r="P498" t="s">
        <v>74</v>
      </c>
      <c r="Q498" t="s">
        <v>74</v>
      </c>
      <c r="R498" t="s">
        <v>74</v>
      </c>
      <c r="S498" t="s">
        <v>74</v>
      </c>
      <c r="T498" t="s">
        <v>74</v>
      </c>
      <c r="U498" t="s">
        <v>8476</v>
      </c>
      <c r="V498" t="s">
        <v>8477</v>
      </c>
      <c r="W498" t="s">
        <v>8478</v>
      </c>
      <c r="X498" t="s">
        <v>8479</v>
      </c>
      <c r="Y498" t="s">
        <v>8480</v>
      </c>
      <c r="Z498" t="s">
        <v>8481</v>
      </c>
      <c r="AA498" t="s">
        <v>8482</v>
      </c>
      <c r="AB498" t="s">
        <v>8483</v>
      </c>
      <c r="AC498" t="s">
        <v>74</v>
      </c>
      <c r="AD498" t="s">
        <v>74</v>
      </c>
      <c r="AE498" t="s">
        <v>74</v>
      </c>
      <c r="AF498" t="s">
        <v>74</v>
      </c>
      <c r="AG498">
        <v>25</v>
      </c>
      <c r="AH498">
        <v>5</v>
      </c>
      <c r="AI498">
        <v>5</v>
      </c>
      <c r="AJ498">
        <v>0</v>
      </c>
      <c r="AK498">
        <v>14</v>
      </c>
      <c r="AL498" t="s">
        <v>4017</v>
      </c>
      <c r="AM498" t="s">
        <v>4018</v>
      </c>
      <c r="AN498" t="s">
        <v>4019</v>
      </c>
      <c r="AO498" t="s">
        <v>8453</v>
      </c>
      <c r="AP498" t="s">
        <v>8454</v>
      </c>
      <c r="AQ498" t="s">
        <v>74</v>
      </c>
      <c r="AR498" t="s">
        <v>8455</v>
      </c>
      <c r="AS498" t="s">
        <v>8456</v>
      </c>
      <c r="AT498" t="s">
        <v>74</v>
      </c>
      <c r="AU498">
        <v>2008</v>
      </c>
      <c r="AV498">
        <v>35</v>
      </c>
      <c r="AW498">
        <v>4</v>
      </c>
      <c r="AX498" t="s">
        <v>74</v>
      </c>
      <c r="AY498" t="s">
        <v>74</v>
      </c>
      <c r="AZ498" t="s">
        <v>74</v>
      </c>
      <c r="BA498" t="s">
        <v>74</v>
      </c>
      <c r="BB498">
        <v>349</v>
      </c>
      <c r="BC498">
        <v>357</v>
      </c>
      <c r="BD498" t="s">
        <v>74</v>
      </c>
      <c r="BE498" t="s">
        <v>8484</v>
      </c>
      <c r="BF498" t="str">
        <f>HYPERLINK("http://dx.doi.org/10.1071/WR07093","http://dx.doi.org/10.1071/WR07093")</f>
        <v>http://dx.doi.org/10.1071/WR07093</v>
      </c>
      <c r="BG498" t="s">
        <v>74</v>
      </c>
      <c r="BH498" t="s">
        <v>74</v>
      </c>
      <c r="BI498">
        <v>9</v>
      </c>
      <c r="BJ498" t="s">
        <v>8458</v>
      </c>
      <c r="BK498" t="s">
        <v>97</v>
      </c>
      <c r="BL498" t="s">
        <v>8459</v>
      </c>
      <c r="BM498" t="s">
        <v>8460</v>
      </c>
      <c r="BN498" t="s">
        <v>74</v>
      </c>
      <c r="BO498" t="s">
        <v>74</v>
      </c>
      <c r="BP498" t="s">
        <v>74</v>
      </c>
      <c r="BQ498" t="s">
        <v>74</v>
      </c>
      <c r="BR498" t="s">
        <v>100</v>
      </c>
      <c r="BS498" t="s">
        <v>8485</v>
      </c>
      <c r="BT498" t="str">
        <f>HYPERLINK("https%3A%2F%2Fwww.webofscience.com%2Fwos%2Fwoscc%2Ffull-record%2FWOS:000257140300012","View Full Record in Web of Science")</f>
        <v>View Full Record in Web of Science</v>
      </c>
    </row>
    <row r="499" spans="1:72" x14ac:dyDescent="0.15">
      <c r="A499" t="s">
        <v>72</v>
      </c>
      <c r="B499" t="s">
        <v>8486</v>
      </c>
      <c r="C499" t="s">
        <v>74</v>
      </c>
      <c r="D499" t="s">
        <v>74</v>
      </c>
      <c r="E499" t="s">
        <v>74</v>
      </c>
      <c r="F499" t="s">
        <v>8487</v>
      </c>
      <c r="G499" t="s">
        <v>74</v>
      </c>
      <c r="H499" t="s">
        <v>74</v>
      </c>
      <c r="I499" t="s">
        <v>8488</v>
      </c>
      <c r="J499" t="s">
        <v>8444</v>
      </c>
      <c r="K499" t="s">
        <v>74</v>
      </c>
      <c r="L499" t="s">
        <v>74</v>
      </c>
      <c r="M499" t="s">
        <v>78</v>
      </c>
      <c r="N499" t="s">
        <v>79</v>
      </c>
      <c r="O499" t="s">
        <v>74</v>
      </c>
      <c r="P499" t="s">
        <v>74</v>
      </c>
      <c r="Q499" t="s">
        <v>74</v>
      </c>
      <c r="R499" t="s">
        <v>74</v>
      </c>
      <c r="S499" t="s">
        <v>74</v>
      </c>
      <c r="T499" t="s">
        <v>74</v>
      </c>
      <c r="U499" t="s">
        <v>8489</v>
      </c>
      <c r="V499" t="s">
        <v>8490</v>
      </c>
      <c r="W499" t="s">
        <v>8491</v>
      </c>
      <c r="X499" t="s">
        <v>74</v>
      </c>
      <c r="Y499" t="s">
        <v>8492</v>
      </c>
      <c r="Z499" t="s">
        <v>8493</v>
      </c>
      <c r="AA499" t="s">
        <v>74</v>
      </c>
      <c r="AB499" t="s">
        <v>74</v>
      </c>
      <c r="AC499" t="s">
        <v>8494</v>
      </c>
      <c r="AD499" t="s">
        <v>8494</v>
      </c>
      <c r="AE499" t="s">
        <v>8495</v>
      </c>
      <c r="AF499" t="s">
        <v>74</v>
      </c>
      <c r="AG499">
        <v>22</v>
      </c>
      <c r="AH499">
        <v>14</v>
      </c>
      <c r="AI499">
        <v>16</v>
      </c>
      <c r="AJ499">
        <v>0</v>
      </c>
      <c r="AK499">
        <v>11</v>
      </c>
      <c r="AL499" t="s">
        <v>4017</v>
      </c>
      <c r="AM499" t="s">
        <v>5898</v>
      </c>
      <c r="AN499" t="s">
        <v>5899</v>
      </c>
      <c r="AO499" t="s">
        <v>8453</v>
      </c>
      <c r="AP499" t="s">
        <v>74</v>
      </c>
      <c r="AQ499" t="s">
        <v>74</v>
      </c>
      <c r="AR499" t="s">
        <v>8455</v>
      </c>
      <c r="AS499" t="s">
        <v>8456</v>
      </c>
      <c r="AT499" t="s">
        <v>74</v>
      </c>
      <c r="AU499">
        <v>2008</v>
      </c>
      <c r="AV499">
        <v>35</v>
      </c>
      <c r="AW499">
        <v>5</v>
      </c>
      <c r="AX499" t="s">
        <v>74</v>
      </c>
      <c r="AY499" t="s">
        <v>74</v>
      </c>
      <c r="AZ499" t="s">
        <v>74</v>
      </c>
      <c r="BA499" t="s">
        <v>74</v>
      </c>
      <c r="BB499">
        <v>471</v>
      </c>
      <c r="BC499">
        <v>476</v>
      </c>
      <c r="BD499" t="s">
        <v>74</v>
      </c>
      <c r="BE499" t="s">
        <v>8496</v>
      </c>
      <c r="BF499" t="str">
        <f>HYPERLINK("http://dx.doi.org/10.1071/WR07167","http://dx.doi.org/10.1071/WR07167")</f>
        <v>http://dx.doi.org/10.1071/WR07167</v>
      </c>
      <c r="BG499" t="s">
        <v>74</v>
      </c>
      <c r="BH499" t="s">
        <v>74</v>
      </c>
      <c r="BI499">
        <v>6</v>
      </c>
      <c r="BJ499" t="s">
        <v>8458</v>
      </c>
      <c r="BK499" t="s">
        <v>97</v>
      </c>
      <c r="BL499" t="s">
        <v>8459</v>
      </c>
      <c r="BM499" t="s">
        <v>8497</v>
      </c>
      <c r="BN499" t="s">
        <v>74</v>
      </c>
      <c r="BO499" t="s">
        <v>74</v>
      </c>
      <c r="BP499" t="s">
        <v>74</v>
      </c>
      <c r="BQ499" t="s">
        <v>74</v>
      </c>
      <c r="BR499" t="s">
        <v>100</v>
      </c>
      <c r="BS499" t="s">
        <v>8498</v>
      </c>
      <c r="BT499" t="str">
        <f>HYPERLINK("https%3A%2F%2Fwww.webofscience.com%2Fwos%2Fwoscc%2Ffull-record%2FWOS:000258517900011","View Full Record in Web of Science")</f>
        <v>View Full Record in Web of Science</v>
      </c>
    </row>
    <row r="500" spans="1:72" x14ac:dyDescent="0.15">
      <c r="A500" t="s">
        <v>72</v>
      </c>
      <c r="B500" t="s">
        <v>8499</v>
      </c>
      <c r="C500" t="s">
        <v>74</v>
      </c>
      <c r="D500" t="s">
        <v>74</v>
      </c>
      <c r="E500" t="s">
        <v>74</v>
      </c>
      <c r="F500" t="s">
        <v>8500</v>
      </c>
      <c r="G500" t="s">
        <v>74</v>
      </c>
      <c r="H500" t="s">
        <v>74</v>
      </c>
      <c r="I500" t="s">
        <v>8501</v>
      </c>
      <c r="J500" t="s">
        <v>8444</v>
      </c>
      <c r="K500" t="s">
        <v>74</v>
      </c>
      <c r="L500" t="s">
        <v>74</v>
      </c>
      <c r="M500" t="s">
        <v>78</v>
      </c>
      <c r="N500" t="s">
        <v>79</v>
      </c>
      <c r="O500" t="s">
        <v>74</v>
      </c>
      <c r="P500" t="s">
        <v>74</v>
      </c>
      <c r="Q500" t="s">
        <v>74</v>
      </c>
      <c r="R500" t="s">
        <v>74</v>
      </c>
      <c r="S500" t="s">
        <v>74</v>
      </c>
      <c r="T500" t="s">
        <v>74</v>
      </c>
      <c r="U500" t="s">
        <v>8502</v>
      </c>
      <c r="V500" t="s">
        <v>8503</v>
      </c>
      <c r="W500" t="s">
        <v>8504</v>
      </c>
      <c r="X500" t="s">
        <v>8505</v>
      </c>
      <c r="Y500" t="s">
        <v>8506</v>
      </c>
      <c r="Z500" t="s">
        <v>8507</v>
      </c>
      <c r="AA500" t="s">
        <v>8508</v>
      </c>
      <c r="AB500" t="s">
        <v>8509</v>
      </c>
      <c r="AC500" t="s">
        <v>8510</v>
      </c>
      <c r="AD500" t="s">
        <v>8510</v>
      </c>
      <c r="AE500" t="s">
        <v>8511</v>
      </c>
      <c r="AF500" t="s">
        <v>74</v>
      </c>
      <c r="AG500">
        <v>26</v>
      </c>
      <c r="AH500">
        <v>13</v>
      </c>
      <c r="AI500">
        <v>13</v>
      </c>
      <c r="AJ500">
        <v>0</v>
      </c>
      <c r="AK500">
        <v>10</v>
      </c>
      <c r="AL500" t="s">
        <v>4017</v>
      </c>
      <c r="AM500" t="s">
        <v>5898</v>
      </c>
      <c r="AN500" t="s">
        <v>5899</v>
      </c>
      <c r="AO500" t="s">
        <v>8453</v>
      </c>
      <c r="AP500" t="s">
        <v>74</v>
      </c>
      <c r="AQ500" t="s">
        <v>74</v>
      </c>
      <c r="AR500" t="s">
        <v>8455</v>
      </c>
      <c r="AS500" t="s">
        <v>8456</v>
      </c>
      <c r="AT500" t="s">
        <v>74</v>
      </c>
      <c r="AU500">
        <v>2008</v>
      </c>
      <c r="AV500">
        <v>35</v>
      </c>
      <c r="AW500">
        <v>8</v>
      </c>
      <c r="AX500" t="s">
        <v>74</v>
      </c>
      <c r="AY500" t="s">
        <v>74</v>
      </c>
      <c r="AZ500" t="s">
        <v>74</v>
      </c>
      <c r="BA500" t="s">
        <v>74</v>
      </c>
      <c r="BB500">
        <v>806</v>
      </c>
      <c r="BC500">
        <v>811</v>
      </c>
      <c r="BD500" t="s">
        <v>74</v>
      </c>
      <c r="BE500" t="s">
        <v>8512</v>
      </c>
      <c r="BF500" t="str">
        <f>HYPERLINK("http://dx.doi.org/10.1071/WR08045","http://dx.doi.org/10.1071/WR08045")</f>
        <v>http://dx.doi.org/10.1071/WR08045</v>
      </c>
      <c r="BG500" t="s">
        <v>74</v>
      </c>
      <c r="BH500" t="s">
        <v>74</v>
      </c>
      <c r="BI500">
        <v>6</v>
      </c>
      <c r="BJ500" t="s">
        <v>8458</v>
      </c>
      <c r="BK500" t="s">
        <v>97</v>
      </c>
      <c r="BL500" t="s">
        <v>8459</v>
      </c>
      <c r="BM500" t="s">
        <v>8513</v>
      </c>
      <c r="BN500" t="s">
        <v>74</v>
      </c>
      <c r="BO500" t="s">
        <v>74</v>
      </c>
      <c r="BP500" t="s">
        <v>74</v>
      </c>
      <c r="BQ500" t="s">
        <v>74</v>
      </c>
      <c r="BR500" t="s">
        <v>100</v>
      </c>
      <c r="BS500" t="s">
        <v>8514</v>
      </c>
      <c r="BT500" t="str">
        <f>HYPERLINK("https%3A%2F%2Fwww.webofscience.com%2Fwos%2Fwoscc%2Ffull-record%2FWOS:000261768000009","View Full Record in Web of Science")</f>
        <v>View Full Record in Web of Science</v>
      </c>
    </row>
    <row r="501" spans="1:72" x14ac:dyDescent="0.15">
      <c r="A501" t="s">
        <v>816</v>
      </c>
      <c r="B501" t="s">
        <v>8515</v>
      </c>
      <c r="C501" t="s">
        <v>74</v>
      </c>
      <c r="D501" t="s">
        <v>8516</v>
      </c>
      <c r="E501" t="s">
        <v>74</v>
      </c>
      <c r="F501" t="s">
        <v>8517</v>
      </c>
      <c r="G501" t="s">
        <v>74</v>
      </c>
      <c r="H501" t="s">
        <v>74</v>
      </c>
      <c r="I501" t="s">
        <v>8518</v>
      </c>
      <c r="J501" t="s">
        <v>8519</v>
      </c>
      <c r="K501" t="s">
        <v>7769</v>
      </c>
      <c r="L501" t="s">
        <v>74</v>
      </c>
      <c r="M501" t="s">
        <v>78</v>
      </c>
      <c r="N501" t="s">
        <v>823</v>
      </c>
      <c r="O501" t="s">
        <v>8520</v>
      </c>
      <c r="P501" t="s">
        <v>8521</v>
      </c>
      <c r="Q501" t="s">
        <v>8522</v>
      </c>
      <c r="R501" t="s">
        <v>74</v>
      </c>
      <c r="S501" t="s">
        <v>74</v>
      </c>
      <c r="T501" t="s">
        <v>74</v>
      </c>
      <c r="U501" t="s">
        <v>8523</v>
      </c>
      <c r="V501" t="s">
        <v>8524</v>
      </c>
      <c r="W501" t="s">
        <v>8525</v>
      </c>
      <c r="X501" t="s">
        <v>8526</v>
      </c>
      <c r="Y501" t="s">
        <v>8527</v>
      </c>
      <c r="Z501" t="s">
        <v>8528</v>
      </c>
      <c r="AA501" t="s">
        <v>8529</v>
      </c>
      <c r="AB501" t="s">
        <v>8530</v>
      </c>
      <c r="AC501" t="s">
        <v>8531</v>
      </c>
      <c r="AD501" t="s">
        <v>8532</v>
      </c>
      <c r="AE501" t="s">
        <v>8533</v>
      </c>
      <c r="AF501" t="s">
        <v>74</v>
      </c>
      <c r="AG501">
        <v>23</v>
      </c>
      <c r="AH501">
        <v>2</v>
      </c>
      <c r="AI501">
        <v>3</v>
      </c>
      <c r="AJ501">
        <v>0</v>
      </c>
      <c r="AK501">
        <v>0</v>
      </c>
      <c r="AL501" t="s">
        <v>834</v>
      </c>
      <c r="AM501" t="s">
        <v>835</v>
      </c>
      <c r="AN501" t="s">
        <v>836</v>
      </c>
      <c r="AO501" t="s">
        <v>7780</v>
      </c>
      <c r="AP501" t="s">
        <v>8534</v>
      </c>
      <c r="AQ501" t="s">
        <v>74</v>
      </c>
      <c r="AR501" t="s">
        <v>7781</v>
      </c>
      <c r="AS501" t="s">
        <v>74</v>
      </c>
      <c r="AT501" t="s">
        <v>74</v>
      </c>
      <c r="AU501">
        <v>2008</v>
      </c>
      <c r="AV501">
        <v>136</v>
      </c>
      <c r="AW501" t="s">
        <v>74</v>
      </c>
      <c r="AX501" t="s">
        <v>74</v>
      </c>
      <c r="AY501" t="s">
        <v>74</v>
      </c>
      <c r="AZ501" t="s">
        <v>74</v>
      </c>
      <c r="BA501" t="s">
        <v>74</v>
      </c>
      <c r="BB501" t="s">
        <v>74</v>
      </c>
      <c r="BC501" t="s">
        <v>74</v>
      </c>
      <c r="BD501">
        <v>22052</v>
      </c>
      <c r="BE501" t="s">
        <v>8535</v>
      </c>
      <c r="BF501" t="str">
        <f>HYPERLINK("http://dx.doi.org/10.1088/1742-6596/136/2/022052","http://dx.doi.org/10.1088/1742-6596/136/2/022052")</f>
        <v>http://dx.doi.org/10.1088/1742-6596/136/2/022052</v>
      </c>
      <c r="BG501" t="s">
        <v>74</v>
      </c>
      <c r="BH501" t="s">
        <v>74</v>
      </c>
      <c r="BI501">
        <v>5</v>
      </c>
      <c r="BJ501" t="s">
        <v>8536</v>
      </c>
      <c r="BK501" t="s">
        <v>842</v>
      </c>
      <c r="BL501" t="s">
        <v>8537</v>
      </c>
      <c r="BM501" t="s">
        <v>8538</v>
      </c>
      <c r="BN501" t="s">
        <v>74</v>
      </c>
      <c r="BO501" t="s">
        <v>1581</v>
      </c>
      <c r="BP501" t="s">
        <v>74</v>
      </c>
      <c r="BQ501" t="s">
        <v>74</v>
      </c>
      <c r="BR501" t="s">
        <v>100</v>
      </c>
      <c r="BS501" t="s">
        <v>8539</v>
      </c>
      <c r="BT501" t="str">
        <f>HYPERLINK("https%3A%2F%2Fwww.webofscience.com%2Fwos%2Fwoscc%2Ffull-record%2FWOS:000281436000054","View Full Record in Web of Science")</f>
        <v>View Full Record in Web of Science</v>
      </c>
    </row>
    <row r="502" spans="1:72" x14ac:dyDescent="0.15">
      <c r="A502" t="s">
        <v>1199</v>
      </c>
      <c r="B502" t="s">
        <v>8540</v>
      </c>
      <c r="C502" t="s">
        <v>74</v>
      </c>
      <c r="D502" t="s">
        <v>8516</v>
      </c>
      <c r="E502" t="s">
        <v>74</v>
      </c>
      <c r="F502" t="s">
        <v>8541</v>
      </c>
      <c r="G502" t="s">
        <v>74</v>
      </c>
      <c r="H502" t="s">
        <v>8542</v>
      </c>
      <c r="I502" t="s">
        <v>8543</v>
      </c>
      <c r="J502" t="s">
        <v>8519</v>
      </c>
      <c r="K502" t="s">
        <v>7769</v>
      </c>
      <c r="L502" t="s">
        <v>74</v>
      </c>
      <c r="M502" t="s">
        <v>78</v>
      </c>
      <c r="N502" t="s">
        <v>52</v>
      </c>
      <c r="O502" t="s">
        <v>8520</v>
      </c>
      <c r="P502" t="s">
        <v>8521</v>
      </c>
      <c r="Q502" t="s">
        <v>8522</v>
      </c>
      <c r="R502" t="s">
        <v>74</v>
      </c>
      <c r="S502" t="s">
        <v>74</v>
      </c>
      <c r="T502" t="s">
        <v>74</v>
      </c>
      <c r="U502" t="s">
        <v>74</v>
      </c>
      <c r="V502" t="s">
        <v>74</v>
      </c>
      <c r="W502" t="s">
        <v>8544</v>
      </c>
      <c r="X502" t="s">
        <v>8545</v>
      </c>
      <c r="Y502" t="s">
        <v>74</v>
      </c>
      <c r="Z502" t="s">
        <v>8546</v>
      </c>
      <c r="AA502" t="s">
        <v>6951</v>
      </c>
      <c r="AB502" t="s">
        <v>74</v>
      </c>
      <c r="AC502" t="s">
        <v>74</v>
      </c>
      <c r="AD502" t="s">
        <v>74</v>
      </c>
      <c r="AE502" t="s">
        <v>74</v>
      </c>
      <c r="AF502" t="s">
        <v>74</v>
      </c>
      <c r="AG502">
        <v>0</v>
      </c>
      <c r="AH502">
        <v>1</v>
      </c>
      <c r="AI502">
        <v>1</v>
      </c>
      <c r="AJ502">
        <v>0</v>
      </c>
      <c r="AK502">
        <v>2</v>
      </c>
      <c r="AL502" t="s">
        <v>834</v>
      </c>
      <c r="AM502" t="s">
        <v>835</v>
      </c>
      <c r="AN502" t="s">
        <v>836</v>
      </c>
      <c r="AO502" t="s">
        <v>7780</v>
      </c>
      <c r="AP502" t="s">
        <v>74</v>
      </c>
      <c r="AQ502" t="s">
        <v>74</v>
      </c>
      <c r="AR502" t="s">
        <v>7781</v>
      </c>
      <c r="AS502" t="s">
        <v>74</v>
      </c>
      <c r="AT502" t="s">
        <v>74</v>
      </c>
      <c r="AU502">
        <v>2008</v>
      </c>
      <c r="AV502">
        <v>136</v>
      </c>
      <c r="AW502" t="s">
        <v>74</v>
      </c>
      <c r="AX502" t="s">
        <v>74</v>
      </c>
      <c r="AY502" t="s">
        <v>74</v>
      </c>
      <c r="AZ502" t="s">
        <v>74</v>
      </c>
      <c r="BA502" t="s">
        <v>74</v>
      </c>
      <c r="BB502" t="s">
        <v>74</v>
      </c>
      <c r="BC502" t="s">
        <v>74</v>
      </c>
      <c r="BD502">
        <v>42061</v>
      </c>
      <c r="BE502" t="s">
        <v>8547</v>
      </c>
      <c r="BF502" t="str">
        <f>HYPERLINK("http://dx.doi.org/10.1088/1742-6596/136/4/042061","http://dx.doi.org/10.1088/1742-6596/136/4/042061")</f>
        <v>http://dx.doi.org/10.1088/1742-6596/136/4/042061</v>
      </c>
      <c r="BG502" t="s">
        <v>74</v>
      </c>
      <c r="BH502" t="s">
        <v>74</v>
      </c>
      <c r="BI502">
        <v>1</v>
      </c>
      <c r="BJ502" t="s">
        <v>8536</v>
      </c>
      <c r="BK502" t="s">
        <v>842</v>
      </c>
      <c r="BL502" t="s">
        <v>8537</v>
      </c>
      <c r="BM502" t="s">
        <v>8538</v>
      </c>
      <c r="BN502" t="s">
        <v>74</v>
      </c>
      <c r="BO502" t="s">
        <v>228</v>
      </c>
      <c r="BP502" t="s">
        <v>74</v>
      </c>
      <c r="BQ502" t="s">
        <v>74</v>
      </c>
      <c r="BR502" t="s">
        <v>100</v>
      </c>
      <c r="BS502" t="s">
        <v>8548</v>
      </c>
      <c r="BT502" t="str">
        <f>HYPERLINK("https%3A%2F%2Fwww.webofscience.com%2Fwos%2Fwoscc%2Ffull-record%2FWOS:000281436000121","View Full Record in Web of Science")</f>
        <v>View Full Record in Web of Science</v>
      </c>
    </row>
    <row r="503" spans="1:72" x14ac:dyDescent="0.15">
      <c r="A503" t="s">
        <v>810</v>
      </c>
      <c r="B503" t="s">
        <v>8549</v>
      </c>
      <c r="C503" t="s">
        <v>74</v>
      </c>
      <c r="D503" t="s">
        <v>8550</v>
      </c>
      <c r="E503" t="s">
        <v>74</v>
      </c>
      <c r="F503" t="s">
        <v>8551</v>
      </c>
      <c r="G503" t="s">
        <v>74</v>
      </c>
      <c r="H503" t="s">
        <v>74</v>
      </c>
      <c r="I503" t="s">
        <v>8552</v>
      </c>
      <c r="J503" t="s">
        <v>8553</v>
      </c>
      <c r="K503" t="s">
        <v>8554</v>
      </c>
      <c r="L503" t="s">
        <v>74</v>
      </c>
      <c r="M503" t="s">
        <v>78</v>
      </c>
      <c r="N503" t="s">
        <v>79</v>
      </c>
      <c r="O503" t="s">
        <v>74</v>
      </c>
      <c r="P503" t="s">
        <v>74</v>
      </c>
      <c r="Q503" t="s">
        <v>74</v>
      </c>
      <c r="R503" t="s">
        <v>74</v>
      </c>
      <c r="S503" t="s">
        <v>74</v>
      </c>
      <c r="T503" t="s">
        <v>8555</v>
      </c>
      <c r="U503" t="s">
        <v>8556</v>
      </c>
      <c r="V503" t="s">
        <v>8557</v>
      </c>
      <c r="W503" t="s">
        <v>8558</v>
      </c>
      <c r="X503" t="s">
        <v>8559</v>
      </c>
      <c r="Y503" t="s">
        <v>8560</v>
      </c>
      <c r="Z503" t="s">
        <v>8561</v>
      </c>
      <c r="AA503" t="s">
        <v>8562</v>
      </c>
      <c r="AB503" t="s">
        <v>8563</v>
      </c>
      <c r="AC503" t="s">
        <v>3541</v>
      </c>
      <c r="AD503" t="s">
        <v>3542</v>
      </c>
      <c r="AE503" t="s">
        <v>74</v>
      </c>
      <c r="AF503" t="s">
        <v>74</v>
      </c>
      <c r="AG503">
        <v>354</v>
      </c>
      <c r="AH503">
        <v>139</v>
      </c>
      <c r="AI503">
        <v>165</v>
      </c>
      <c r="AJ503">
        <v>4</v>
      </c>
      <c r="AK503">
        <v>167</v>
      </c>
      <c r="AL503" t="s">
        <v>88</v>
      </c>
      <c r="AM503" t="s">
        <v>89</v>
      </c>
      <c r="AN503" t="s">
        <v>8564</v>
      </c>
      <c r="AO503" t="s">
        <v>74</v>
      </c>
      <c r="AP503" t="s">
        <v>74</v>
      </c>
      <c r="AQ503" t="s">
        <v>8565</v>
      </c>
      <c r="AR503" t="s">
        <v>8385</v>
      </c>
      <c r="AS503" t="s">
        <v>8386</v>
      </c>
      <c r="AT503" t="s">
        <v>74</v>
      </c>
      <c r="AU503">
        <v>2008</v>
      </c>
      <c r="AV503">
        <v>1134</v>
      </c>
      <c r="AW503" t="s">
        <v>74</v>
      </c>
      <c r="AX503" t="s">
        <v>74</v>
      </c>
      <c r="AY503" t="s">
        <v>74</v>
      </c>
      <c r="AZ503" t="s">
        <v>74</v>
      </c>
      <c r="BA503" t="s">
        <v>74</v>
      </c>
      <c r="BB503">
        <v>267</v>
      </c>
      <c r="BC503">
        <v>319</v>
      </c>
      <c r="BD503" t="s">
        <v>74</v>
      </c>
      <c r="BE503" t="s">
        <v>8566</v>
      </c>
      <c r="BF503" t="str">
        <f>HYPERLINK("http://dx.doi.org/10.1196/annals.1439.010","http://dx.doi.org/10.1196/annals.1439.010")</f>
        <v>http://dx.doi.org/10.1196/annals.1439.010</v>
      </c>
      <c r="BG503" t="s">
        <v>74</v>
      </c>
      <c r="BH503" t="s">
        <v>74</v>
      </c>
      <c r="BI503">
        <v>53</v>
      </c>
      <c r="BJ503" t="s">
        <v>684</v>
      </c>
      <c r="BK503" t="s">
        <v>97</v>
      </c>
      <c r="BL503" t="s">
        <v>685</v>
      </c>
      <c r="BM503" t="s">
        <v>8567</v>
      </c>
      <c r="BN503">
        <v>18566098</v>
      </c>
      <c r="BO503" t="s">
        <v>1050</v>
      </c>
      <c r="BP503" t="s">
        <v>74</v>
      </c>
      <c r="BQ503" t="s">
        <v>74</v>
      </c>
      <c r="BR503" t="s">
        <v>100</v>
      </c>
      <c r="BS503" t="s">
        <v>8568</v>
      </c>
      <c r="BT503" t="str">
        <f>HYPERLINK("https%3A%2F%2Fwww.webofscience.com%2Fwos%2Fwoscc%2Ffull-record%2FWOS:000257506400011","View Full Record in Web of Science")</f>
        <v>View Full Record in Web of Science</v>
      </c>
    </row>
    <row r="504" spans="1:72" x14ac:dyDescent="0.15">
      <c r="A504" t="s">
        <v>72</v>
      </c>
      <c r="B504" t="s">
        <v>8569</v>
      </c>
      <c r="C504" t="s">
        <v>74</v>
      </c>
      <c r="D504" t="s">
        <v>74</v>
      </c>
      <c r="E504" t="s">
        <v>74</v>
      </c>
      <c r="F504" t="s">
        <v>8570</v>
      </c>
      <c r="G504" t="s">
        <v>74</v>
      </c>
      <c r="H504" t="s">
        <v>74</v>
      </c>
      <c r="I504" t="s">
        <v>8571</v>
      </c>
      <c r="J504" t="s">
        <v>8572</v>
      </c>
      <c r="K504" t="s">
        <v>74</v>
      </c>
      <c r="L504" t="s">
        <v>74</v>
      </c>
      <c r="M504" t="s">
        <v>78</v>
      </c>
      <c r="N504" t="s">
        <v>106</v>
      </c>
      <c r="O504" t="s">
        <v>74</v>
      </c>
      <c r="P504" t="s">
        <v>74</v>
      </c>
      <c r="Q504" t="s">
        <v>74</v>
      </c>
      <c r="R504" t="s">
        <v>74</v>
      </c>
      <c r="S504" t="s">
        <v>74</v>
      </c>
      <c r="T504" t="s">
        <v>8573</v>
      </c>
      <c r="U504" t="s">
        <v>8574</v>
      </c>
      <c r="V504" t="s">
        <v>8575</v>
      </c>
      <c r="W504" t="s">
        <v>8576</v>
      </c>
      <c r="X504" t="s">
        <v>8577</v>
      </c>
      <c r="Y504" t="s">
        <v>8578</v>
      </c>
      <c r="Z504" t="s">
        <v>8579</v>
      </c>
      <c r="AA504" t="s">
        <v>74</v>
      </c>
      <c r="AB504" t="s">
        <v>74</v>
      </c>
      <c r="AC504" t="s">
        <v>74</v>
      </c>
      <c r="AD504" t="s">
        <v>74</v>
      </c>
      <c r="AE504" t="s">
        <v>74</v>
      </c>
      <c r="AF504" t="s">
        <v>74</v>
      </c>
      <c r="AG504">
        <v>202</v>
      </c>
      <c r="AH504">
        <v>11</v>
      </c>
      <c r="AI504">
        <v>14</v>
      </c>
      <c r="AJ504">
        <v>0</v>
      </c>
      <c r="AK504">
        <v>3</v>
      </c>
      <c r="AL504" t="s">
        <v>8580</v>
      </c>
      <c r="AM504" t="s">
        <v>2784</v>
      </c>
      <c r="AN504" t="s">
        <v>8581</v>
      </c>
      <c r="AO504" t="s">
        <v>8582</v>
      </c>
      <c r="AP504" t="s">
        <v>74</v>
      </c>
      <c r="AQ504" t="s">
        <v>74</v>
      </c>
      <c r="AR504" t="s">
        <v>8572</v>
      </c>
      <c r="AS504" t="s">
        <v>8583</v>
      </c>
      <c r="AT504" t="s">
        <v>74</v>
      </c>
      <c r="AU504">
        <v>2008</v>
      </c>
      <c r="AV504" t="s">
        <v>74</v>
      </c>
      <c r="AW504">
        <v>4</v>
      </c>
      <c r="AX504" t="s">
        <v>74</v>
      </c>
      <c r="AY504" t="s">
        <v>74</v>
      </c>
      <c r="AZ504" t="s">
        <v>74</v>
      </c>
      <c r="BA504" t="s">
        <v>74</v>
      </c>
      <c r="BB504">
        <v>1</v>
      </c>
      <c r="BC504">
        <v>46</v>
      </c>
      <c r="BD504" t="s">
        <v>74</v>
      </c>
      <c r="BE504" t="s">
        <v>8584</v>
      </c>
      <c r="BF504" t="str">
        <f>HYPERLINK("http://dx.doi.org/10.3897/zookeys.4.32","http://dx.doi.org/10.3897/zookeys.4.32")</f>
        <v>http://dx.doi.org/10.3897/zookeys.4.32</v>
      </c>
      <c r="BG504" t="s">
        <v>74</v>
      </c>
      <c r="BH504" t="s">
        <v>74</v>
      </c>
      <c r="BI504">
        <v>46</v>
      </c>
      <c r="BJ504" t="s">
        <v>4825</v>
      </c>
      <c r="BK504" t="s">
        <v>97</v>
      </c>
      <c r="BL504" t="s">
        <v>4825</v>
      </c>
      <c r="BM504" t="s">
        <v>8585</v>
      </c>
      <c r="BN504" t="s">
        <v>74</v>
      </c>
      <c r="BO504" t="s">
        <v>1581</v>
      </c>
      <c r="BP504" t="s">
        <v>74</v>
      </c>
      <c r="BQ504" t="s">
        <v>74</v>
      </c>
      <c r="BR504" t="s">
        <v>100</v>
      </c>
      <c r="BS504" t="s">
        <v>8586</v>
      </c>
      <c r="BT504" t="str">
        <f>HYPERLINK("https%3A%2F%2Fwww.webofscience.com%2Fwos%2Fwoscc%2Ffull-record%2FWOS:000265944700001","View Full Record in Web of Science")</f>
        <v>View Full Record in Web of Science</v>
      </c>
    </row>
    <row r="505" spans="1:72" x14ac:dyDescent="0.15">
      <c r="A505" t="s">
        <v>72</v>
      </c>
      <c r="B505" t="s">
        <v>8587</v>
      </c>
      <c r="C505" t="s">
        <v>74</v>
      </c>
      <c r="D505" t="s">
        <v>74</v>
      </c>
      <c r="E505" t="s">
        <v>74</v>
      </c>
      <c r="F505" t="s">
        <v>8588</v>
      </c>
      <c r="G505" t="s">
        <v>74</v>
      </c>
      <c r="H505" t="s">
        <v>74</v>
      </c>
      <c r="I505" t="s">
        <v>8589</v>
      </c>
      <c r="J505" t="s">
        <v>8590</v>
      </c>
      <c r="K505" t="s">
        <v>74</v>
      </c>
      <c r="L505" t="s">
        <v>74</v>
      </c>
      <c r="M505" t="s">
        <v>3986</v>
      </c>
      <c r="N505" t="s">
        <v>438</v>
      </c>
      <c r="O505" t="s">
        <v>74</v>
      </c>
      <c r="P505" t="s">
        <v>74</v>
      </c>
      <c r="Q505" t="s">
        <v>74</v>
      </c>
      <c r="R505" t="s">
        <v>74</v>
      </c>
      <c r="S505" t="s">
        <v>74</v>
      </c>
      <c r="T505" t="s">
        <v>8591</v>
      </c>
      <c r="U505" t="s">
        <v>8592</v>
      </c>
      <c r="V505" t="s">
        <v>8593</v>
      </c>
      <c r="W505" t="s">
        <v>8594</v>
      </c>
      <c r="X505" t="s">
        <v>8595</v>
      </c>
      <c r="Y505" t="s">
        <v>8596</v>
      </c>
      <c r="Z505" t="s">
        <v>8597</v>
      </c>
      <c r="AA505" t="s">
        <v>74</v>
      </c>
      <c r="AB505" t="s">
        <v>8598</v>
      </c>
      <c r="AC505" t="s">
        <v>74</v>
      </c>
      <c r="AD505" t="s">
        <v>74</v>
      </c>
      <c r="AE505" t="s">
        <v>74</v>
      </c>
      <c r="AF505" t="s">
        <v>74</v>
      </c>
      <c r="AG505">
        <v>58</v>
      </c>
      <c r="AH505">
        <v>9</v>
      </c>
      <c r="AI505">
        <v>12</v>
      </c>
      <c r="AJ505">
        <v>0</v>
      </c>
      <c r="AK505">
        <v>0</v>
      </c>
      <c r="AL505" t="s">
        <v>8599</v>
      </c>
      <c r="AM505" t="s">
        <v>7951</v>
      </c>
      <c r="AN505" t="s">
        <v>8600</v>
      </c>
      <c r="AO505" t="s">
        <v>8601</v>
      </c>
      <c r="AP505" t="s">
        <v>74</v>
      </c>
      <c r="AQ505" t="s">
        <v>74</v>
      </c>
      <c r="AR505" t="s">
        <v>8590</v>
      </c>
      <c r="AS505" t="s">
        <v>8602</v>
      </c>
      <c r="AT505" t="s">
        <v>8603</v>
      </c>
      <c r="AU505">
        <v>2007</v>
      </c>
      <c r="AV505">
        <v>44</v>
      </c>
      <c r="AW505">
        <v>4</v>
      </c>
      <c r="AX505" t="s">
        <v>74</v>
      </c>
      <c r="AY505" t="s">
        <v>74</v>
      </c>
      <c r="AZ505" t="s">
        <v>74</v>
      </c>
      <c r="BA505" t="s">
        <v>74</v>
      </c>
      <c r="BB505">
        <v>739</v>
      </c>
      <c r="BC505">
        <v>746</v>
      </c>
      <c r="BD505" t="s">
        <v>74</v>
      </c>
      <c r="BE505" t="s">
        <v>74</v>
      </c>
      <c r="BF505" t="s">
        <v>74</v>
      </c>
      <c r="BG505" t="s">
        <v>74</v>
      </c>
      <c r="BH505" t="s">
        <v>74</v>
      </c>
      <c r="BI505">
        <v>8</v>
      </c>
      <c r="BJ505" t="s">
        <v>1426</v>
      </c>
      <c r="BK505" t="s">
        <v>97</v>
      </c>
      <c r="BL505" t="s">
        <v>1426</v>
      </c>
      <c r="BM505" t="s">
        <v>8604</v>
      </c>
      <c r="BN505" t="s">
        <v>74</v>
      </c>
      <c r="BO505" t="s">
        <v>74</v>
      </c>
      <c r="BP505" t="s">
        <v>74</v>
      </c>
      <c r="BQ505" t="s">
        <v>74</v>
      </c>
      <c r="BR505" t="s">
        <v>100</v>
      </c>
      <c r="BS505" t="s">
        <v>8605</v>
      </c>
      <c r="BT505" t="str">
        <f>HYPERLINK("https%3A%2F%2Fwww.webofscience.com%2Fwos%2Fwoscc%2Ffull-record%2FWOS:000254986300008","View Full Record in Web of Science")</f>
        <v>View Full Record in Web of Science</v>
      </c>
    </row>
    <row r="506" spans="1:72" x14ac:dyDescent="0.15">
      <c r="A506" t="s">
        <v>72</v>
      </c>
      <c r="B506" t="s">
        <v>8606</v>
      </c>
      <c r="C506" t="s">
        <v>74</v>
      </c>
      <c r="D506" t="s">
        <v>74</v>
      </c>
      <c r="E506" t="s">
        <v>74</v>
      </c>
      <c r="F506" t="s">
        <v>8607</v>
      </c>
      <c r="G506" t="s">
        <v>74</v>
      </c>
      <c r="H506" t="s">
        <v>74</v>
      </c>
      <c r="I506" t="s">
        <v>8608</v>
      </c>
      <c r="J506" t="s">
        <v>537</v>
      </c>
      <c r="K506" t="s">
        <v>74</v>
      </c>
      <c r="L506" t="s">
        <v>74</v>
      </c>
      <c r="M506" t="s">
        <v>78</v>
      </c>
      <c r="N506" t="s">
        <v>79</v>
      </c>
      <c r="O506" t="s">
        <v>74</v>
      </c>
      <c r="P506" t="s">
        <v>74</v>
      </c>
      <c r="Q506" t="s">
        <v>74</v>
      </c>
      <c r="R506" t="s">
        <v>74</v>
      </c>
      <c r="S506" t="s">
        <v>74</v>
      </c>
      <c r="T506" t="s">
        <v>8609</v>
      </c>
      <c r="U506" t="s">
        <v>8610</v>
      </c>
      <c r="V506" t="s">
        <v>8611</v>
      </c>
      <c r="W506" t="s">
        <v>8612</v>
      </c>
      <c r="X506" t="s">
        <v>8613</v>
      </c>
      <c r="Y506" t="s">
        <v>8614</v>
      </c>
      <c r="Z506" t="s">
        <v>8615</v>
      </c>
      <c r="AA506" t="s">
        <v>8616</v>
      </c>
      <c r="AB506" t="s">
        <v>8617</v>
      </c>
      <c r="AC506" t="s">
        <v>74</v>
      </c>
      <c r="AD506" t="s">
        <v>74</v>
      </c>
      <c r="AE506" t="s">
        <v>74</v>
      </c>
      <c r="AF506" t="s">
        <v>74</v>
      </c>
      <c r="AG506">
        <v>35</v>
      </c>
      <c r="AH506">
        <v>28</v>
      </c>
      <c r="AI506">
        <v>29</v>
      </c>
      <c r="AJ506">
        <v>2</v>
      </c>
      <c r="AK506">
        <v>16</v>
      </c>
      <c r="AL506" t="s">
        <v>265</v>
      </c>
      <c r="AM506" t="s">
        <v>266</v>
      </c>
      <c r="AN506" t="s">
        <v>267</v>
      </c>
      <c r="AO506" t="s">
        <v>547</v>
      </c>
      <c r="AP506" t="s">
        <v>548</v>
      </c>
      <c r="AQ506" t="s">
        <v>74</v>
      </c>
      <c r="AR506" t="s">
        <v>549</v>
      </c>
      <c r="AS506" t="s">
        <v>550</v>
      </c>
      <c r="AT506" t="s">
        <v>8603</v>
      </c>
      <c r="AU506">
        <v>2007</v>
      </c>
      <c r="AV506">
        <v>264</v>
      </c>
      <c r="AW506" t="s">
        <v>489</v>
      </c>
      <c r="AX506" t="s">
        <v>74</v>
      </c>
      <c r="AY506" t="s">
        <v>74</v>
      </c>
      <c r="AZ506" t="s">
        <v>74</v>
      </c>
      <c r="BA506" t="s">
        <v>74</v>
      </c>
      <c r="BB506">
        <v>391</v>
      </c>
      <c r="BC506">
        <v>401</v>
      </c>
      <c r="BD506" t="s">
        <v>74</v>
      </c>
      <c r="BE506" t="s">
        <v>8618</v>
      </c>
      <c r="BF506" t="str">
        <f>HYPERLINK("http://dx.doi.org/10.1016/j.epsl.2007.09.029","http://dx.doi.org/10.1016/j.epsl.2007.09.029")</f>
        <v>http://dx.doi.org/10.1016/j.epsl.2007.09.029</v>
      </c>
      <c r="BG506" t="s">
        <v>74</v>
      </c>
      <c r="BH506" t="s">
        <v>74</v>
      </c>
      <c r="BI506">
        <v>11</v>
      </c>
      <c r="BJ506" t="s">
        <v>553</v>
      </c>
      <c r="BK506" t="s">
        <v>97</v>
      </c>
      <c r="BL506" t="s">
        <v>553</v>
      </c>
      <c r="BM506" t="s">
        <v>8619</v>
      </c>
      <c r="BN506" t="s">
        <v>74</v>
      </c>
      <c r="BO506" t="s">
        <v>1050</v>
      </c>
      <c r="BP506" t="s">
        <v>74</v>
      </c>
      <c r="BQ506" t="s">
        <v>74</v>
      </c>
      <c r="BR506" t="s">
        <v>100</v>
      </c>
      <c r="BS506" t="s">
        <v>8620</v>
      </c>
      <c r="BT506" t="str">
        <f>HYPERLINK("https%3A%2F%2Fwww.webofscience.com%2Fwos%2Fwoscc%2Ffull-record%2FWOS:000251918500004","View Full Record in Web of Science")</f>
        <v>View Full Record in Web of Science</v>
      </c>
    </row>
    <row r="507" spans="1:72" x14ac:dyDescent="0.15">
      <c r="A507" t="s">
        <v>72</v>
      </c>
      <c r="B507" t="s">
        <v>8621</v>
      </c>
      <c r="C507" t="s">
        <v>74</v>
      </c>
      <c r="D507" t="s">
        <v>74</v>
      </c>
      <c r="E507" t="s">
        <v>74</v>
      </c>
      <c r="F507" t="s">
        <v>8622</v>
      </c>
      <c r="G507" t="s">
        <v>74</v>
      </c>
      <c r="H507" t="s">
        <v>74</v>
      </c>
      <c r="I507" t="s">
        <v>8623</v>
      </c>
      <c r="J507" t="s">
        <v>8624</v>
      </c>
      <c r="K507" t="s">
        <v>74</v>
      </c>
      <c r="L507" t="s">
        <v>74</v>
      </c>
      <c r="M507" t="s">
        <v>78</v>
      </c>
      <c r="N507" t="s">
        <v>79</v>
      </c>
      <c r="O507" t="s">
        <v>74</v>
      </c>
      <c r="P507" t="s">
        <v>74</v>
      </c>
      <c r="Q507" t="s">
        <v>74</v>
      </c>
      <c r="R507" t="s">
        <v>74</v>
      </c>
      <c r="S507" t="s">
        <v>74</v>
      </c>
      <c r="T507" t="s">
        <v>8625</v>
      </c>
      <c r="U507" t="s">
        <v>8626</v>
      </c>
      <c r="V507" t="s">
        <v>8627</v>
      </c>
      <c r="W507" t="s">
        <v>8628</v>
      </c>
      <c r="X507" t="s">
        <v>8629</v>
      </c>
      <c r="Y507" t="s">
        <v>8630</v>
      </c>
      <c r="Z507" t="s">
        <v>8631</v>
      </c>
      <c r="AA507" t="s">
        <v>8632</v>
      </c>
      <c r="AB507" t="s">
        <v>8633</v>
      </c>
      <c r="AC507" t="s">
        <v>8634</v>
      </c>
      <c r="AD507" t="s">
        <v>8635</v>
      </c>
      <c r="AE507" t="s">
        <v>74</v>
      </c>
      <c r="AF507" t="s">
        <v>74</v>
      </c>
      <c r="AG507">
        <v>42</v>
      </c>
      <c r="AH507">
        <v>12</v>
      </c>
      <c r="AI507">
        <v>16</v>
      </c>
      <c r="AJ507">
        <v>2</v>
      </c>
      <c r="AK507">
        <v>15</v>
      </c>
      <c r="AL507" t="s">
        <v>506</v>
      </c>
      <c r="AM507" t="s">
        <v>266</v>
      </c>
      <c r="AN507" t="s">
        <v>507</v>
      </c>
      <c r="AO507" t="s">
        <v>8636</v>
      </c>
      <c r="AP507" t="s">
        <v>74</v>
      </c>
      <c r="AQ507" t="s">
        <v>74</v>
      </c>
      <c r="AR507" t="s">
        <v>8624</v>
      </c>
      <c r="AS507" t="s">
        <v>8637</v>
      </c>
      <c r="AT507" t="s">
        <v>8603</v>
      </c>
      <c r="AU507">
        <v>2007</v>
      </c>
      <c r="AV507">
        <v>406</v>
      </c>
      <c r="AW507" t="s">
        <v>551</v>
      </c>
      <c r="AX507" t="s">
        <v>74</v>
      </c>
      <c r="AY507" t="s">
        <v>74</v>
      </c>
      <c r="AZ507" t="s">
        <v>74</v>
      </c>
      <c r="BA507" t="s">
        <v>74</v>
      </c>
      <c r="BB507">
        <v>58</v>
      </c>
      <c r="BC507">
        <v>68</v>
      </c>
      <c r="BD507" t="s">
        <v>74</v>
      </c>
      <c r="BE507" t="s">
        <v>8638</v>
      </c>
      <c r="BF507" t="str">
        <f>HYPERLINK("http://dx.doi.org/10.1016/j.gene.2007.06.002","http://dx.doi.org/10.1016/j.gene.2007.06.002")</f>
        <v>http://dx.doi.org/10.1016/j.gene.2007.06.002</v>
      </c>
      <c r="BG507" t="s">
        <v>74</v>
      </c>
      <c r="BH507" t="s">
        <v>74</v>
      </c>
      <c r="BI507">
        <v>11</v>
      </c>
      <c r="BJ507" t="s">
        <v>8639</v>
      </c>
      <c r="BK507" t="s">
        <v>97</v>
      </c>
      <c r="BL507" t="s">
        <v>8639</v>
      </c>
      <c r="BM507" t="s">
        <v>8640</v>
      </c>
      <c r="BN507">
        <v>17618067</v>
      </c>
      <c r="BO507" t="s">
        <v>74</v>
      </c>
      <c r="BP507" t="s">
        <v>74</v>
      </c>
      <c r="BQ507" t="s">
        <v>74</v>
      </c>
      <c r="BR507" t="s">
        <v>100</v>
      </c>
      <c r="BS507" t="s">
        <v>8641</v>
      </c>
      <c r="BT507" t="str">
        <f>HYPERLINK("https%3A%2F%2Fwww.webofscience.com%2Fwos%2Fwoscc%2Ffull-record%2FWOS:000252500500009","View Full Record in Web of Science")</f>
        <v>View Full Record in Web of Science</v>
      </c>
    </row>
    <row r="508" spans="1:72" x14ac:dyDescent="0.15">
      <c r="A508" t="s">
        <v>72</v>
      </c>
      <c r="B508" t="s">
        <v>8642</v>
      </c>
      <c r="C508" t="s">
        <v>74</v>
      </c>
      <c r="D508" t="s">
        <v>74</v>
      </c>
      <c r="E508" t="s">
        <v>74</v>
      </c>
      <c r="F508" t="s">
        <v>8643</v>
      </c>
      <c r="G508" t="s">
        <v>74</v>
      </c>
      <c r="H508" t="s">
        <v>74</v>
      </c>
      <c r="I508" t="s">
        <v>8644</v>
      </c>
      <c r="J508" t="s">
        <v>8624</v>
      </c>
      <c r="K508" t="s">
        <v>74</v>
      </c>
      <c r="L508" t="s">
        <v>74</v>
      </c>
      <c r="M508" t="s">
        <v>78</v>
      </c>
      <c r="N508" t="s">
        <v>79</v>
      </c>
      <c r="O508" t="s">
        <v>74</v>
      </c>
      <c r="P508" t="s">
        <v>74</v>
      </c>
      <c r="Q508" t="s">
        <v>74</v>
      </c>
      <c r="R508" t="s">
        <v>74</v>
      </c>
      <c r="S508" t="s">
        <v>74</v>
      </c>
      <c r="T508" t="s">
        <v>8645</v>
      </c>
      <c r="U508" t="s">
        <v>8646</v>
      </c>
      <c r="V508" t="s">
        <v>8647</v>
      </c>
      <c r="W508" t="s">
        <v>8648</v>
      </c>
      <c r="X508" t="s">
        <v>5131</v>
      </c>
      <c r="Y508" t="s">
        <v>8649</v>
      </c>
      <c r="Z508" t="s">
        <v>8650</v>
      </c>
      <c r="AA508" t="s">
        <v>8651</v>
      </c>
      <c r="AB508" t="s">
        <v>8652</v>
      </c>
      <c r="AC508" t="s">
        <v>74</v>
      </c>
      <c r="AD508" t="s">
        <v>74</v>
      </c>
      <c r="AE508" t="s">
        <v>74</v>
      </c>
      <c r="AF508" t="s">
        <v>74</v>
      </c>
      <c r="AG508">
        <v>48</v>
      </c>
      <c r="AH508">
        <v>3</v>
      </c>
      <c r="AI508">
        <v>3</v>
      </c>
      <c r="AJ508">
        <v>0</v>
      </c>
      <c r="AK508">
        <v>4</v>
      </c>
      <c r="AL508" t="s">
        <v>506</v>
      </c>
      <c r="AM508" t="s">
        <v>266</v>
      </c>
      <c r="AN508" t="s">
        <v>507</v>
      </c>
      <c r="AO508" t="s">
        <v>8636</v>
      </c>
      <c r="AP508" t="s">
        <v>8653</v>
      </c>
      <c r="AQ508" t="s">
        <v>74</v>
      </c>
      <c r="AR508" t="s">
        <v>8624</v>
      </c>
      <c r="AS508" t="s">
        <v>8637</v>
      </c>
      <c r="AT508" t="s">
        <v>8603</v>
      </c>
      <c r="AU508">
        <v>2007</v>
      </c>
      <c r="AV508">
        <v>406</v>
      </c>
      <c r="AW508" t="s">
        <v>551</v>
      </c>
      <c r="AX508" t="s">
        <v>74</v>
      </c>
      <c r="AY508" t="s">
        <v>74</v>
      </c>
      <c r="AZ508" t="s">
        <v>74</v>
      </c>
      <c r="BA508" t="s">
        <v>74</v>
      </c>
      <c r="BB508">
        <v>199</v>
      </c>
      <c r="BC508">
        <v>208</v>
      </c>
      <c r="BD508" t="s">
        <v>74</v>
      </c>
      <c r="BE508" t="s">
        <v>8654</v>
      </c>
      <c r="BF508" t="str">
        <f>HYPERLINK("http://dx.doi.org/10.1016/j.gene.2007.10.002","http://dx.doi.org/10.1016/j.gene.2007.10.002")</f>
        <v>http://dx.doi.org/10.1016/j.gene.2007.10.002</v>
      </c>
      <c r="BG508" t="s">
        <v>74</v>
      </c>
      <c r="BH508" t="s">
        <v>74</v>
      </c>
      <c r="BI508">
        <v>10</v>
      </c>
      <c r="BJ508" t="s">
        <v>8639</v>
      </c>
      <c r="BK508" t="s">
        <v>97</v>
      </c>
      <c r="BL508" t="s">
        <v>8639</v>
      </c>
      <c r="BM508" t="s">
        <v>8640</v>
      </c>
      <c r="BN508">
        <v>17997234</v>
      </c>
      <c r="BO508" t="s">
        <v>74</v>
      </c>
      <c r="BP508" t="s">
        <v>74</v>
      </c>
      <c r="BQ508" t="s">
        <v>74</v>
      </c>
      <c r="BR508" t="s">
        <v>100</v>
      </c>
      <c r="BS508" t="s">
        <v>8655</v>
      </c>
      <c r="BT508" t="str">
        <f>HYPERLINK("https%3A%2F%2Fwww.webofscience.com%2Fwos%2Fwoscc%2Ffull-record%2FWOS:000252500500024","View Full Record in Web of Science")</f>
        <v>View Full Record in Web of Science</v>
      </c>
    </row>
    <row r="509" spans="1:72" x14ac:dyDescent="0.15">
      <c r="A509" t="s">
        <v>72</v>
      </c>
      <c r="B509" t="s">
        <v>8656</v>
      </c>
      <c r="C509" t="s">
        <v>74</v>
      </c>
      <c r="D509" t="s">
        <v>74</v>
      </c>
      <c r="E509" t="s">
        <v>74</v>
      </c>
      <c r="F509" t="s">
        <v>8657</v>
      </c>
      <c r="G509" t="s">
        <v>74</v>
      </c>
      <c r="H509" t="s">
        <v>74</v>
      </c>
      <c r="I509" t="s">
        <v>8658</v>
      </c>
      <c r="J509" t="s">
        <v>615</v>
      </c>
      <c r="K509" t="s">
        <v>74</v>
      </c>
      <c r="L509" t="s">
        <v>74</v>
      </c>
      <c r="M509" t="s">
        <v>78</v>
      </c>
      <c r="N509" t="s">
        <v>79</v>
      </c>
      <c r="O509" t="s">
        <v>74</v>
      </c>
      <c r="P509" t="s">
        <v>74</v>
      </c>
      <c r="Q509" t="s">
        <v>74</v>
      </c>
      <c r="R509" t="s">
        <v>74</v>
      </c>
      <c r="S509" t="s">
        <v>74</v>
      </c>
      <c r="T509" t="s">
        <v>74</v>
      </c>
      <c r="U509" t="s">
        <v>8659</v>
      </c>
      <c r="V509" t="s">
        <v>8660</v>
      </c>
      <c r="W509" t="s">
        <v>8661</v>
      </c>
      <c r="X509" t="s">
        <v>8662</v>
      </c>
      <c r="Y509" t="s">
        <v>8663</v>
      </c>
      <c r="Z509" t="s">
        <v>8664</v>
      </c>
      <c r="AA509" t="s">
        <v>8665</v>
      </c>
      <c r="AB509" t="s">
        <v>74</v>
      </c>
      <c r="AC509" t="s">
        <v>74</v>
      </c>
      <c r="AD509" t="s">
        <v>74</v>
      </c>
      <c r="AE509" t="s">
        <v>74</v>
      </c>
      <c r="AF509" t="s">
        <v>74</v>
      </c>
      <c r="AG509">
        <v>43</v>
      </c>
      <c r="AH509">
        <v>9</v>
      </c>
      <c r="AI509">
        <v>11</v>
      </c>
      <c r="AJ509">
        <v>1</v>
      </c>
      <c r="AK509">
        <v>8</v>
      </c>
      <c r="AL509" t="s">
        <v>193</v>
      </c>
      <c r="AM509" t="s">
        <v>194</v>
      </c>
      <c r="AN509" t="s">
        <v>195</v>
      </c>
      <c r="AO509" t="s">
        <v>623</v>
      </c>
      <c r="AP509" t="s">
        <v>624</v>
      </c>
      <c r="AQ509" t="s">
        <v>74</v>
      </c>
      <c r="AR509" t="s">
        <v>625</v>
      </c>
      <c r="AS509" t="s">
        <v>626</v>
      </c>
      <c r="AT509" t="s">
        <v>8666</v>
      </c>
      <c r="AU509">
        <v>2007</v>
      </c>
      <c r="AV509">
        <v>112</v>
      </c>
      <c r="AW509" t="s">
        <v>8667</v>
      </c>
      <c r="AX509" t="s">
        <v>74</v>
      </c>
      <c r="AY509" t="s">
        <v>74</v>
      </c>
      <c r="AZ509" t="s">
        <v>74</v>
      </c>
      <c r="BA509" t="s">
        <v>74</v>
      </c>
      <c r="BB509" t="s">
        <v>74</v>
      </c>
      <c r="BC509" t="s">
        <v>74</v>
      </c>
      <c r="BD509" t="s">
        <v>8668</v>
      </c>
      <c r="BE509" t="s">
        <v>8669</v>
      </c>
      <c r="BF509" t="str">
        <f>HYPERLINK("http://dx.doi.org/10.1029/2007JC004222","http://dx.doi.org/10.1029/2007JC004222")</f>
        <v>http://dx.doi.org/10.1029/2007JC004222</v>
      </c>
      <c r="BG509" t="s">
        <v>74</v>
      </c>
      <c r="BH509" t="s">
        <v>74</v>
      </c>
      <c r="BI509">
        <v>11</v>
      </c>
      <c r="BJ509" t="s">
        <v>630</v>
      </c>
      <c r="BK509" t="s">
        <v>97</v>
      </c>
      <c r="BL509" t="s">
        <v>630</v>
      </c>
      <c r="BM509" t="s">
        <v>8670</v>
      </c>
      <c r="BN509" t="s">
        <v>74</v>
      </c>
      <c r="BO509" t="s">
        <v>74</v>
      </c>
      <c r="BP509" t="s">
        <v>74</v>
      </c>
      <c r="BQ509" t="s">
        <v>74</v>
      </c>
      <c r="BR509" t="s">
        <v>100</v>
      </c>
      <c r="BS509" t="s">
        <v>8671</v>
      </c>
      <c r="BT509" t="str">
        <f>HYPERLINK("https%3A%2F%2Fwww.webofscience.com%2Fwos%2Fwoscc%2Ffull-record%2FWOS:000252015100003","View Full Record in Web of Science")</f>
        <v>View Full Record in Web of Science</v>
      </c>
    </row>
    <row r="510" spans="1:72" x14ac:dyDescent="0.15">
      <c r="A510" t="s">
        <v>72</v>
      </c>
      <c r="B510" t="s">
        <v>8672</v>
      </c>
      <c r="C510" t="s">
        <v>74</v>
      </c>
      <c r="D510" t="s">
        <v>74</v>
      </c>
      <c r="E510" t="s">
        <v>74</v>
      </c>
      <c r="F510" t="s">
        <v>8673</v>
      </c>
      <c r="G510" t="s">
        <v>74</v>
      </c>
      <c r="H510" t="s">
        <v>74</v>
      </c>
      <c r="I510" t="s">
        <v>8674</v>
      </c>
      <c r="J510" t="s">
        <v>8675</v>
      </c>
      <c r="K510" t="s">
        <v>74</v>
      </c>
      <c r="L510" t="s">
        <v>74</v>
      </c>
      <c r="M510" t="s">
        <v>78</v>
      </c>
      <c r="N510" t="s">
        <v>438</v>
      </c>
      <c r="O510" t="s">
        <v>74</v>
      </c>
      <c r="P510" t="s">
        <v>74</v>
      </c>
      <c r="Q510" t="s">
        <v>74</v>
      </c>
      <c r="R510" t="s">
        <v>74</v>
      </c>
      <c r="S510" t="s">
        <v>74</v>
      </c>
      <c r="T510" t="s">
        <v>74</v>
      </c>
      <c r="U510" t="s">
        <v>8676</v>
      </c>
      <c r="V510" t="s">
        <v>74</v>
      </c>
      <c r="W510" t="s">
        <v>8677</v>
      </c>
      <c r="X510" t="s">
        <v>74</v>
      </c>
      <c r="Y510" t="s">
        <v>8678</v>
      </c>
      <c r="Z510" t="s">
        <v>8679</v>
      </c>
      <c r="AA510" t="s">
        <v>74</v>
      </c>
      <c r="AB510" t="s">
        <v>74</v>
      </c>
      <c r="AC510" t="s">
        <v>8680</v>
      </c>
      <c r="AD510" t="s">
        <v>116</v>
      </c>
      <c r="AE510" t="s">
        <v>74</v>
      </c>
      <c r="AF510" t="s">
        <v>74</v>
      </c>
      <c r="AG510">
        <v>8</v>
      </c>
      <c r="AH510">
        <v>1</v>
      </c>
      <c r="AI510">
        <v>1</v>
      </c>
      <c r="AJ510">
        <v>0</v>
      </c>
      <c r="AK510">
        <v>3</v>
      </c>
      <c r="AL510" t="s">
        <v>8681</v>
      </c>
      <c r="AM510" t="s">
        <v>118</v>
      </c>
      <c r="AN510" t="s">
        <v>8682</v>
      </c>
      <c r="AO510" t="s">
        <v>8683</v>
      </c>
      <c r="AP510" t="s">
        <v>8684</v>
      </c>
      <c r="AQ510" t="s">
        <v>74</v>
      </c>
      <c r="AR510" t="s">
        <v>8685</v>
      </c>
      <c r="AS510" t="s">
        <v>8686</v>
      </c>
      <c r="AT510" t="s">
        <v>8666</v>
      </c>
      <c r="AU510">
        <v>2007</v>
      </c>
      <c r="AV510">
        <v>362</v>
      </c>
      <c r="AW510">
        <v>1488</v>
      </c>
      <c r="AX510" t="s">
        <v>74</v>
      </c>
      <c r="AY510" t="s">
        <v>74</v>
      </c>
      <c r="AZ510" t="s">
        <v>74</v>
      </c>
      <c r="BA510" t="s">
        <v>74</v>
      </c>
      <c r="BB510">
        <v>2185</v>
      </c>
      <c r="BC510">
        <v>2186</v>
      </c>
      <c r="BD510" t="s">
        <v>74</v>
      </c>
      <c r="BE510" t="s">
        <v>8687</v>
      </c>
      <c r="BF510" t="str">
        <f>HYPERLINK("http://dx.doi.org/10.1098/rstb.2007.2228","http://dx.doi.org/10.1098/rstb.2007.2228")</f>
        <v>http://dx.doi.org/10.1098/rstb.2007.2228</v>
      </c>
      <c r="BG510" t="s">
        <v>74</v>
      </c>
      <c r="BH510" t="s">
        <v>74</v>
      </c>
      <c r="BI510">
        <v>2</v>
      </c>
      <c r="BJ510" t="s">
        <v>4848</v>
      </c>
      <c r="BK510" t="s">
        <v>97</v>
      </c>
      <c r="BL510" t="s">
        <v>4849</v>
      </c>
      <c r="BM510" t="s">
        <v>8688</v>
      </c>
      <c r="BN510" t="s">
        <v>74</v>
      </c>
      <c r="BO510" t="s">
        <v>313</v>
      </c>
      <c r="BP510" t="s">
        <v>74</v>
      </c>
      <c r="BQ510" t="s">
        <v>74</v>
      </c>
      <c r="BR510" t="s">
        <v>100</v>
      </c>
      <c r="BS510" t="s">
        <v>8689</v>
      </c>
      <c r="BT510" t="str">
        <f>HYPERLINK("https%3A%2F%2Fwww.webofscience.com%2Fwos%2Fwoscc%2Ffull-record%2FWOS:000250644100001","View Full Record in Web of Science")</f>
        <v>View Full Record in Web of Science</v>
      </c>
    </row>
    <row r="511" spans="1:72" x14ac:dyDescent="0.15">
      <c r="A511" t="s">
        <v>72</v>
      </c>
      <c r="B511" t="s">
        <v>8690</v>
      </c>
      <c r="C511" t="s">
        <v>74</v>
      </c>
      <c r="D511" t="s">
        <v>74</v>
      </c>
      <c r="E511" t="s">
        <v>74</v>
      </c>
      <c r="F511" t="s">
        <v>8691</v>
      </c>
      <c r="G511" t="s">
        <v>74</v>
      </c>
      <c r="H511" t="s">
        <v>74</v>
      </c>
      <c r="I511" t="s">
        <v>8692</v>
      </c>
      <c r="J511" t="s">
        <v>8675</v>
      </c>
      <c r="K511" t="s">
        <v>74</v>
      </c>
      <c r="L511" t="s">
        <v>74</v>
      </c>
      <c r="M511" t="s">
        <v>78</v>
      </c>
      <c r="N511" t="s">
        <v>438</v>
      </c>
      <c r="O511" t="s">
        <v>74</v>
      </c>
      <c r="P511" t="s">
        <v>74</v>
      </c>
      <c r="Q511" t="s">
        <v>74</v>
      </c>
      <c r="R511" t="s">
        <v>74</v>
      </c>
      <c r="S511" t="s">
        <v>74</v>
      </c>
      <c r="T511" t="s">
        <v>8693</v>
      </c>
      <c r="U511" t="s">
        <v>8694</v>
      </c>
      <c r="V511" t="s">
        <v>8695</v>
      </c>
      <c r="W511" t="s">
        <v>8696</v>
      </c>
      <c r="X511" t="s">
        <v>8697</v>
      </c>
      <c r="Y511" t="s">
        <v>8698</v>
      </c>
      <c r="Z511" t="s">
        <v>8699</v>
      </c>
      <c r="AA511" t="s">
        <v>8700</v>
      </c>
      <c r="AB511" t="s">
        <v>8701</v>
      </c>
      <c r="AC511" t="s">
        <v>8702</v>
      </c>
      <c r="AD511" t="s">
        <v>242</v>
      </c>
      <c r="AE511" t="s">
        <v>74</v>
      </c>
      <c r="AF511" t="s">
        <v>74</v>
      </c>
      <c r="AG511">
        <v>21</v>
      </c>
      <c r="AH511">
        <v>9</v>
      </c>
      <c r="AI511">
        <v>10</v>
      </c>
      <c r="AJ511">
        <v>0</v>
      </c>
      <c r="AK511">
        <v>26</v>
      </c>
      <c r="AL511" t="s">
        <v>8681</v>
      </c>
      <c r="AM511" t="s">
        <v>118</v>
      </c>
      <c r="AN511" t="s">
        <v>8682</v>
      </c>
      <c r="AO511" t="s">
        <v>8683</v>
      </c>
      <c r="AP511" t="s">
        <v>8684</v>
      </c>
      <c r="AQ511" t="s">
        <v>74</v>
      </c>
      <c r="AR511" t="s">
        <v>8685</v>
      </c>
      <c r="AS511" t="s">
        <v>8686</v>
      </c>
      <c r="AT511" t="s">
        <v>8666</v>
      </c>
      <c r="AU511">
        <v>2007</v>
      </c>
      <c r="AV511">
        <v>362</v>
      </c>
      <c r="AW511">
        <v>1488</v>
      </c>
      <c r="AX511" t="s">
        <v>74</v>
      </c>
      <c r="AY511" t="s">
        <v>74</v>
      </c>
      <c r="AZ511" t="s">
        <v>74</v>
      </c>
      <c r="BA511" t="s">
        <v>74</v>
      </c>
      <c r="BB511">
        <v>2187</v>
      </c>
      <c r="BC511">
        <v>2189</v>
      </c>
      <c r="BD511" t="s">
        <v>74</v>
      </c>
      <c r="BE511" t="s">
        <v>8703</v>
      </c>
      <c r="BF511" t="str">
        <f>HYPERLINK("http://dx.doi.org/10.1098/rstb.2007.2135","http://dx.doi.org/10.1098/rstb.2007.2135")</f>
        <v>http://dx.doi.org/10.1098/rstb.2007.2135</v>
      </c>
      <c r="BG511" t="s">
        <v>74</v>
      </c>
      <c r="BH511" t="s">
        <v>74</v>
      </c>
      <c r="BI511">
        <v>3</v>
      </c>
      <c r="BJ511" t="s">
        <v>4848</v>
      </c>
      <c r="BK511" t="s">
        <v>97</v>
      </c>
      <c r="BL511" t="s">
        <v>4849</v>
      </c>
      <c r="BM511" t="s">
        <v>8688</v>
      </c>
      <c r="BN511">
        <v>17553772</v>
      </c>
      <c r="BO511" t="s">
        <v>313</v>
      </c>
      <c r="BP511" t="s">
        <v>74</v>
      </c>
      <c r="BQ511" t="s">
        <v>74</v>
      </c>
      <c r="BR511" t="s">
        <v>100</v>
      </c>
      <c r="BS511" t="s">
        <v>8704</v>
      </c>
      <c r="BT511" t="str">
        <f>HYPERLINK("https%3A%2F%2Fwww.webofscience.com%2Fwos%2Fwoscc%2Ffull-record%2FWOS:000250644100002","View Full Record in Web of Science")</f>
        <v>View Full Record in Web of Science</v>
      </c>
    </row>
    <row r="512" spans="1:72" x14ac:dyDescent="0.15">
      <c r="A512" t="s">
        <v>72</v>
      </c>
      <c r="B512" t="s">
        <v>8705</v>
      </c>
      <c r="C512" t="s">
        <v>74</v>
      </c>
      <c r="D512" t="s">
        <v>74</v>
      </c>
      <c r="E512" t="s">
        <v>74</v>
      </c>
      <c r="F512" t="s">
        <v>8706</v>
      </c>
      <c r="G512" t="s">
        <v>74</v>
      </c>
      <c r="H512" t="s">
        <v>74</v>
      </c>
      <c r="I512" t="s">
        <v>8707</v>
      </c>
      <c r="J512" t="s">
        <v>8675</v>
      </c>
      <c r="K512" t="s">
        <v>74</v>
      </c>
      <c r="L512" t="s">
        <v>74</v>
      </c>
      <c r="M512" t="s">
        <v>78</v>
      </c>
      <c r="N512" t="s">
        <v>106</v>
      </c>
      <c r="O512" t="s">
        <v>74</v>
      </c>
      <c r="P512" t="s">
        <v>74</v>
      </c>
      <c r="Q512" t="s">
        <v>74</v>
      </c>
      <c r="R512" t="s">
        <v>74</v>
      </c>
      <c r="S512" t="s">
        <v>74</v>
      </c>
      <c r="T512" t="s">
        <v>8708</v>
      </c>
      <c r="U512" t="s">
        <v>8709</v>
      </c>
      <c r="V512" t="s">
        <v>8710</v>
      </c>
      <c r="W512" t="s">
        <v>439</v>
      </c>
      <c r="X512" t="s">
        <v>440</v>
      </c>
      <c r="Y512" t="s">
        <v>8711</v>
      </c>
      <c r="Z512" t="s">
        <v>8699</v>
      </c>
      <c r="AA512" t="s">
        <v>74</v>
      </c>
      <c r="AB512" t="s">
        <v>8712</v>
      </c>
      <c r="AC512" t="s">
        <v>8713</v>
      </c>
      <c r="AD512" t="s">
        <v>444</v>
      </c>
      <c r="AE512" t="s">
        <v>74</v>
      </c>
      <c r="AF512" t="s">
        <v>74</v>
      </c>
      <c r="AG512">
        <v>229</v>
      </c>
      <c r="AH512">
        <v>127</v>
      </c>
      <c r="AI512">
        <v>136</v>
      </c>
      <c r="AJ512">
        <v>0</v>
      </c>
      <c r="AK512">
        <v>8</v>
      </c>
      <c r="AL512" t="s">
        <v>8681</v>
      </c>
      <c r="AM512" t="s">
        <v>118</v>
      </c>
      <c r="AN512" t="s">
        <v>8682</v>
      </c>
      <c r="AO512" t="s">
        <v>8683</v>
      </c>
      <c r="AP512" t="s">
        <v>8684</v>
      </c>
      <c r="AQ512" t="s">
        <v>74</v>
      </c>
      <c r="AR512" t="s">
        <v>8685</v>
      </c>
      <c r="AS512" t="s">
        <v>8686</v>
      </c>
      <c r="AT512" t="s">
        <v>8666</v>
      </c>
      <c r="AU512">
        <v>2007</v>
      </c>
      <c r="AV512">
        <v>362</v>
      </c>
      <c r="AW512">
        <v>1488</v>
      </c>
      <c r="AX512" t="s">
        <v>74</v>
      </c>
      <c r="AY512" t="s">
        <v>74</v>
      </c>
      <c r="AZ512" t="s">
        <v>74</v>
      </c>
      <c r="BA512" t="s">
        <v>74</v>
      </c>
      <c r="BB512">
        <v>2191</v>
      </c>
      <c r="BC512">
        <v>2214</v>
      </c>
      <c r="BD512" t="s">
        <v>74</v>
      </c>
      <c r="BE512" t="s">
        <v>8714</v>
      </c>
      <c r="BF512" t="str">
        <f>HYPERLINK("http://dx.doi.org/10.1098/rstb.2006.1948","http://dx.doi.org/10.1098/rstb.2006.1948")</f>
        <v>http://dx.doi.org/10.1098/rstb.2006.1948</v>
      </c>
      <c r="BG512" t="s">
        <v>74</v>
      </c>
      <c r="BH512" t="s">
        <v>74</v>
      </c>
      <c r="BI512">
        <v>24</v>
      </c>
      <c r="BJ512" t="s">
        <v>4848</v>
      </c>
      <c r="BK512" t="s">
        <v>97</v>
      </c>
      <c r="BL512" t="s">
        <v>4849</v>
      </c>
      <c r="BM512" t="s">
        <v>8688</v>
      </c>
      <c r="BN512">
        <v>17553774</v>
      </c>
      <c r="BO512" t="s">
        <v>3777</v>
      </c>
      <c r="BP512" t="s">
        <v>74</v>
      </c>
      <c r="BQ512" t="s">
        <v>74</v>
      </c>
      <c r="BR512" t="s">
        <v>100</v>
      </c>
      <c r="BS512" t="s">
        <v>8715</v>
      </c>
      <c r="BT512" t="str">
        <f>HYPERLINK("https%3A%2F%2Fwww.webofscience.com%2Fwos%2Fwoscc%2Ffull-record%2FWOS:000250644100003","View Full Record in Web of Science")</f>
        <v>View Full Record in Web of Science</v>
      </c>
    </row>
    <row r="513" spans="1:72" x14ac:dyDescent="0.15">
      <c r="A513" t="s">
        <v>72</v>
      </c>
      <c r="B513" t="s">
        <v>8716</v>
      </c>
      <c r="C513" t="s">
        <v>74</v>
      </c>
      <c r="D513" t="s">
        <v>74</v>
      </c>
      <c r="E513" t="s">
        <v>74</v>
      </c>
      <c r="F513" t="s">
        <v>8717</v>
      </c>
      <c r="G513" t="s">
        <v>74</v>
      </c>
      <c r="H513" t="s">
        <v>74</v>
      </c>
      <c r="I513" t="s">
        <v>8718</v>
      </c>
      <c r="J513" t="s">
        <v>8675</v>
      </c>
      <c r="K513" t="s">
        <v>74</v>
      </c>
      <c r="L513" t="s">
        <v>74</v>
      </c>
      <c r="M513" t="s">
        <v>78</v>
      </c>
      <c r="N513" t="s">
        <v>106</v>
      </c>
      <c r="O513" t="s">
        <v>74</v>
      </c>
      <c r="P513" t="s">
        <v>74</v>
      </c>
      <c r="Q513" t="s">
        <v>74</v>
      </c>
      <c r="R513" t="s">
        <v>74</v>
      </c>
      <c r="S513" t="s">
        <v>74</v>
      </c>
      <c r="T513" t="s">
        <v>8719</v>
      </c>
      <c r="U513" t="s">
        <v>8720</v>
      </c>
      <c r="V513" t="s">
        <v>8721</v>
      </c>
      <c r="W513" t="s">
        <v>8722</v>
      </c>
      <c r="X513" t="s">
        <v>8723</v>
      </c>
      <c r="Y513" t="s">
        <v>8724</v>
      </c>
      <c r="Z513" t="s">
        <v>8725</v>
      </c>
      <c r="AA513" t="s">
        <v>74</v>
      </c>
      <c r="AB513" t="s">
        <v>74</v>
      </c>
      <c r="AC513" t="s">
        <v>74</v>
      </c>
      <c r="AD513" t="s">
        <v>74</v>
      </c>
      <c r="AE513" t="s">
        <v>74</v>
      </c>
      <c r="AF513" t="s">
        <v>74</v>
      </c>
      <c r="AG513">
        <v>123</v>
      </c>
      <c r="AH513">
        <v>112</v>
      </c>
      <c r="AI513">
        <v>121</v>
      </c>
      <c r="AJ513">
        <v>2</v>
      </c>
      <c r="AK513">
        <v>92</v>
      </c>
      <c r="AL513" t="s">
        <v>8681</v>
      </c>
      <c r="AM513" t="s">
        <v>118</v>
      </c>
      <c r="AN513" t="s">
        <v>8682</v>
      </c>
      <c r="AO513" t="s">
        <v>8683</v>
      </c>
      <c r="AP513" t="s">
        <v>8684</v>
      </c>
      <c r="AQ513" t="s">
        <v>74</v>
      </c>
      <c r="AR513" t="s">
        <v>8685</v>
      </c>
      <c r="AS513" t="s">
        <v>8686</v>
      </c>
      <c r="AT513" t="s">
        <v>8666</v>
      </c>
      <c r="AU513">
        <v>2007</v>
      </c>
      <c r="AV513">
        <v>362</v>
      </c>
      <c r="AW513">
        <v>1488</v>
      </c>
      <c r="AX513" t="s">
        <v>74</v>
      </c>
      <c r="AY513" t="s">
        <v>74</v>
      </c>
      <c r="AZ513" t="s">
        <v>74</v>
      </c>
      <c r="BA513" t="s">
        <v>74</v>
      </c>
      <c r="BB513">
        <v>2215</v>
      </c>
      <c r="BC513">
        <v>2232</v>
      </c>
      <c r="BD513" t="s">
        <v>74</v>
      </c>
      <c r="BE513" t="s">
        <v>8726</v>
      </c>
      <c r="BF513" t="str">
        <f>HYPERLINK("http://dx.doi.org/10.1098/rstb.2006.1946","http://dx.doi.org/10.1098/rstb.2006.1946")</f>
        <v>http://dx.doi.org/10.1098/rstb.2006.1946</v>
      </c>
      <c r="BG513" t="s">
        <v>74</v>
      </c>
      <c r="BH513" t="s">
        <v>74</v>
      </c>
      <c r="BI513">
        <v>18</v>
      </c>
      <c r="BJ513" t="s">
        <v>4848</v>
      </c>
      <c r="BK513" t="s">
        <v>97</v>
      </c>
      <c r="BL513" t="s">
        <v>4849</v>
      </c>
      <c r="BM513" t="s">
        <v>8688</v>
      </c>
      <c r="BN513">
        <v>17553777</v>
      </c>
      <c r="BO513" t="s">
        <v>3777</v>
      </c>
      <c r="BP513" t="s">
        <v>74</v>
      </c>
      <c r="BQ513" t="s">
        <v>74</v>
      </c>
      <c r="BR513" t="s">
        <v>100</v>
      </c>
      <c r="BS513" t="s">
        <v>8727</v>
      </c>
      <c r="BT513" t="str">
        <f>HYPERLINK("https%3A%2F%2Fwww.webofscience.com%2Fwos%2Fwoscc%2Ffull-record%2FWOS:000250644100004","View Full Record in Web of Science")</f>
        <v>View Full Record in Web of Science</v>
      </c>
    </row>
    <row r="514" spans="1:72" x14ac:dyDescent="0.15">
      <c r="A514" t="s">
        <v>72</v>
      </c>
      <c r="B514" t="s">
        <v>8728</v>
      </c>
      <c r="C514" t="s">
        <v>74</v>
      </c>
      <c r="D514" t="s">
        <v>74</v>
      </c>
      <c r="E514" t="s">
        <v>74</v>
      </c>
      <c r="F514" t="s">
        <v>8729</v>
      </c>
      <c r="G514" t="s">
        <v>74</v>
      </c>
      <c r="H514" t="s">
        <v>74</v>
      </c>
      <c r="I514" t="s">
        <v>8730</v>
      </c>
      <c r="J514" t="s">
        <v>8675</v>
      </c>
      <c r="K514" t="s">
        <v>74</v>
      </c>
      <c r="L514" t="s">
        <v>74</v>
      </c>
      <c r="M514" t="s">
        <v>78</v>
      </c>
      <c r="N514" t="s">
        <v>106</v>
      </c>
      <c r="O514" t="s">
        <v>74</v>
      </c>
      <c r="P514" t="s">
        <v>74</v>
      </c>
      <c r="Q514" t="s">
        <v>74</v>
      </c>
      <c r="R514" t="s">
        <v>74</v>
      </c>
      <c r="S514" t="s">
        <v>74</v>
      </c>
      <c r="T514" t="s">
        <v>8731</v>
      </c>
      <c r="U514" t="s">
        <v>8732</v>
      </c>
      <c r="V514" t="s">
        <v>8733</v>
      </c>
      <c r="W514" t="s">
        <v>8734</v>
      </c>
      <c r="X514" t="s">
        <v>8735</v>
      </c>
      <c r="Y514" t="s">
        <v>8736</v>
      </c>
      <c r="Z514" t="s">
        <v>8737</v>
      </c>
      <c r="AA514" t="s">
        <v>8738</v>
      </c>
      <c r="AB514" t="s">
        <v>8739</v>
      </c>
      <c r="AC514" t="s">
        <v>4792</v>
      </c>
      <c r="AD514" t="s">
        <v>444</v>
      </c>
      <c r="AE514" t="s">
        <v>74</v>
      </c>
      <c r="AF514" t="s">
        <v>74</v>
      </c>
      <c r="AG514">
        <v>189</v>
      </c>
      <c r="AH514">
        <v>257</v>
      </c>
      <c r="AI514">
        <v>290</v>
      </c>
      <c r="AJ514">
        <v>5</v>
      </c>
      <c r="AK514">
        <v>187</v>
      </c>
      <c r="AL514" t="s">
        <v>8681</v>
      </c>
      <c r="AM514" t="s">
        <v>118</v>
      </c>
      <c r="AN514" t="s">
        <v>8682</v>
      </c>
      <c r="AO514" t="s">
        <v>8683</v>
      </c>
      <c r="AP514" t="s">
        <v>8684</v>
      </c>
      <c r="AQ514" t="s">
        <v>74</v>
      </c>
      <c r="AR514" t="s">
        <v>8685</v>
      </c>
      <c r="AS514" t="s">
        <v>8686</v>
      </c>
      <c r="AT514" t="s">
        <v>8666</v>
      </c>
      <c r="AU514">
        <v>2007</v>
      </c>
      <c r="AV514">
        <v>362</v>
      </c>
      <c r="AW514">
        <v>1488</v>
      </c>
      <c r="AX514" t="s">
        <v>74</v>
      </c>
      <c r="AY514" t="s">
        <v>74</v>
      </c>
      <c r="AZ514" t="s">
        <v>74</v>
      </c>
      <c r="BA514" t="s">
        <v>74</v>
      </c>
      <c r="BB514">
        <v>2233</v>
      </c>
      <c r="BC514">
        <v>2258</v>
      </c>
      <c r="BD514" t="s">
        <v>74</v>
      </c>
      <c r="BE514" t="s">
        <v>8740</v>
      </c>
      <c r="BF514" t="str">
        <f>HYPERLINK("http://dx.doi.org/10.1098/rstb.2006.1947","http://dx.doi.org/10.1098/rstb.2006.1947")</f>
        <v>http://dx.doi.org/10.1098/rstb.2006.1947</v>
      </c>
      <c r="BG514" t="s">
        <v>74</v>
      </c>
      <c r="BH514" t="s">
        <v>74</v>
      </c>
      <c r="BI514">
        <v>26</v>
      </c>
      <c r="BJ514" t="s">
        <v>4848</v>
      </c>
      <c r="BK514" t="s">
        <v>97</v>
      </c>
      <c r="BL514" t="s">
        <v>4849</v>
      </c>
      <c r="BM514" t="s">
        <v>8688</v>
      </c>
      <c r="BN514">
        <v>17553776</v>
      </c>
      <c r="BO514" t="s">
        <v>3777</v>
      </c>
      <c r="BP514" t="s">
        <v>74</v>
      </c>
      <c r="BQ514" t="s">
        <v>74</v>
      </c>
      <c r="BR514" t="s">
        <v>100</v>
      </c>
      <c r="BS514" t="s">
        <v>8741</v>
      </c>
      <c r="BT514" t="str">
        <f>HYPERLINK("https%3A%2F%2Fwww.webofscience.com%2Fwos%2Fwoscc%2Ffull-record%2FWOS:000250644100005","View Full Record in Web of Science")</f>
        <v>View Full Record in Web of Science</v>
      </c>
    </row>
    <row r="515" spans="1:72" x14ac:dyDescent="0.15">
      <c r="A515" t="s">
        <v>72</v>
      </c>
      <c r="B515" t="s">
        <v>8742</v>
      </c>
      <c r="C515" t="s">
        <v>74</v>
      </c>
      <c r="D515" t="s">
        <v>74</v>
      </c>
      <c r="E515" t="s">
        <v>74</v>
      </c>
      <c r="F515" t="s">
        <v>8743</v>
      </c>
      <c r="G515" t="s">
        <v>74</v>
      </c>
      <c r="H515" t="s">
        <v>74</v>
      </c>
      <c r="I515" t="s">
        <v>8744</v>
      </c>
      <c r="J515" t="s">
        <v>8675</v>
      </c>
      <c r="K515" t="s">
        <v>74</v>
      </c>
      <c r="L515" t="s">
        <v>74</v>
      </c>
      <c r="M515" t="s">
        <v>78</v>
      </c>
      <c r="N515" t="s">
        <v>79</v>
      </c>
      <c r="O515" t="s">
        <v>74</v>
      </c>
      <c r="P515" t="s">
        <v>74</v>
      </c>
      <c r="Q515" t="s">
        <v>74</v>
      </c>
      <c r="R515" t="s">
        <v>74</v>
      </c>
      <c r="S515" t="s">
        <v>74</v>
      </c>
      <c r="T515" t="s">
        <v>8745</v>
      </c>
      <c r="U515" t="s">
        <v>8746</v>
      </c>
      <c r="V515" t="s">
        <v>8747</v>
      </c>
      <c r="W515" t="s">
        <v>8748</v>
      </c>
      <c r="X515" t="s">
        <v>8749</v>
      </c>
      <c r="Y515" t="s">
        <v>8750</v>
      </c>
      <c r="Z515" t="s">
        <v>8751</v>
      </c>
      <c r="AA515" t="s">
        <v>74</v>
      </c>
      <c r="AB515" t="s">
        <v>8752</v>
      </c>
      <c r="AC515" t="s">
        <v>74</v>
      </c>
      <c r="AD515" t="s">
        <v>74</v>
      </c>
      <c r="AE515" t="s">
        <v>74</v>
      </c>
      <c r="AF515" t="s">
        <v>74</v>
      </c>
      <c r="AG515">
        <v>84</v>
      </c>
      <c r="AH515">
        <v>100</v>
      </c>
      <c r="AI515">
        <v>119</v>
      </c>
      <c r="AJ515">
        <v>2</v>
      </c>
      <c r="AK515">
        <v>64</v>
      </c>
      <c r="AL515" t="s">
        <v>8681</v>
      </c>
      <c r="AM515" t="s">
        <v>118</v>
      </c>
      <c r="AN515" t="s">
        <v>8682</v>
      </c>
      <c r="AO515" t="s">
        <v>8683</v>
      </c>
      <c r="AP515" t="s">
        <v>8684</v>
      </c>
      <c r="AQ515" t="s">
        <v>74</v>
      </c>
      <c r="AR515" t="s">
        <v>8685</v>
      </c>
      <c r="AS515" t="s">
        <v>8686</v>
      </c>
      <c r="AT515" t="s">
        <v>8666</v>
      </c>
      <c r="AU515">
        <v>2007</v>
      </c>
      <c r="AV515">
        <v>362</v>
      </c>
      <c r="AW515">
        <v>1488</v>
      </c>
      <c r="AX515" t="s">
        <v>74</v>
      </c>
      <c r="AY515" t="s">
        <v>74</v>
      </c>
      <c r="AZ515" t="s">
        <v>74</v>
      </c>
      <c r="BA515" t="s">
        <v>74</v>
      </c>
      <c r="BB515">
        <v>2259</v>
      </c>
      <c r="BC515">
        <v>2271</v>
      </c>
      <c r="BD515" t="s">
        <v>74</v>
      </c>
      <c r="BE515" t="s">
        <v>8753</v>
      </c>
      <c r="BF515" t="str">
        <f>HYPERLINK("http://dx.doi.org/10.1098/rstb.2006.1944","http://dx.doi.org/10.1098/rstb.2006.1944")</f>
        <v>http://dx.doi.org/10.1098/rstb.2006.1944</v>
      </c>
      <c r="BG515" t="s">
        <v>74</v>
      </c>
      <c r="BH515" t="s">
        <v>74</v>
      </c>
      <c r="BI515">
        <v>13</v>
      </c>
      <c r="BJ515" t="s">
        <v>4848</v>
      </c>
      <c r="BK515" t="s">
        <v>97</v>
      </c>
      <c r="BL515" t="s">
        <v>4849</v>
      </c>
      <c r="BM515" t="s">
        <v>8688</v>
      </c>
      <c r="BN515">
        <v>17553778</v>
      </c>
      <c r="BO515" t="s">
        <v>3777</v>
      </c>
      <c r="BP515" t="s">
        <v>74</v>
      </c>
      <c r="BQ515" t="s">
        <v>74</v>
      </c>
      <c r="BR515" t="s">
        <v>100</v>
      </c>
      <c r="BS515" t="s">
        <v>8754</v>
      </c>
      <c r="BT515" t="str">
        <f>HYPERLINK("https%3A%2F%2Fwww.webofscience.com%2Fwos%2Fwoscc%2Ffull-record%2FWOS:000250644100006","View Full Record in Web of Science")</f>
        <v>View Full Record in Web of Science</v>
      </c>
    </row>
    <row r="516" spans="1:72" x14ac:dyDescent="0.15">
      <c r="A516" t="s">
        <v>72</v>
      </c>
      <c r="B516" t="s">
        <v>8755</v>
      </c>
      <c r="C516" t="s">
        <v>74</v>
      </c>
      <c r="D516" t="s">
        <v>74</v>
      </c>
      <c r="E516" t="s">
        <v>74</v>
      </c>
      <c r="F516" t="s">
        <v>8756</v>
      </c>
      <c r="G516" t="s">
        <v>74</v>
      </c>
      <c r="H516" t="s">
        <v>74</v>
      </c>
      <c r="I516" t="s">
        <v>8757</v>
      </c>
      <c r="J516" t="s">
        <v>8675</v>
      </c>
      <c r="K516" t="s">
        <v>74</v>
      </c>
      <c r="L516" t="s">
        <v>74</v>
      </c>
      <c r="M516" t="s">
        <v>78</v>
      </c>
      <c r="N516" t="s">
        <v>106</v>
      </c>
      <c r="O516" t="s">
        <v>74</v>
      </c>
      <c r="P516" t="s">
        <v>74</v>
      </c>
      <c r="Q516" t="s">
        <v>74</v>
      </c>
      <c r="R516" t="s">
        <v>74</v>
      </c>
      <c r="S516" t="s">
        <v>74</v>
      </c>
      <c r="T516" t="s">
        <v>8758</v>
      </c>
      <c r="U516" t="s">
        <v>8759</v>
      </c>
      <c r="V516" t="s">
        <v>8760</v>
      </c>
      <c r="W516" t="s">
        <v>8761</v>
      </c>
      <c r="X516" t="s">
        <v>8762</v>
      </c>
      <c r="Y516" t="s">
        <v>8763</v>
      </c>
      <c r="Z516" t="s">
        <v>8764</v>
      </c>
      <c r="AA516" t="s">
        <v>74</v>
      </c>
      <c r="AB516" t="s">
        <v>8765</v>
      </c>
      <c r="AC516" t="s">
        <v>8766</v>
      </c>
      <c r="AD516" t="s">
        <v>242</v>
      </c>
      <c r="AE516" t="s">
        <v>74</v>
      </c>
      <c r="AF516" t="s">
        <v>74</v>
      </c>
      <c r="AG516">
        <v>205</v>
      </c>
      <c r="AH516">
        <v>97</v>
      </c>
      <c r="AI516">
        <v>104</v>
      </c>
      <c r="AJ516">
        <v>2</v>
      </c>
      <c r="AK516">
        <v>64</v>
      </c>
      <c r="AL516" t="s">
        <v>8681</v>
      </c>
      <c r="AM516" t="s">
        <v>118</v>
      </c>
      <c r="AN516" t="s">
        <v>8682</v>
      </c>
      <c r="AO516" t="s">
        <v>8683</v>
      </c>
      <c r="AP516" t="s">
        <v>8684</v>
      </c>
      <c r="AQ516" t="s">
        <v>74</v>
      </c>
      <c r="AR516" t="s">
        <v>8685</v>
      </c>
      <c r="AS516" t="s">
        <v>8686</v>
      </c>
      <c r="AT516" t="s">
        <v>8666</v>
      </c>
      <c r="AU516">
        <v>2007</v>
      </c>
      <c r="AV516">
        <v>362</v>
      </c>
      <c r="AW516">
        <v>1488</v>
      </c>
      <c r="AX516" t="s">
        <v>74</v>
      </c>
      <c r="AY516" t="s">
        <v>74</v>
      </c>
      <c r="AZ516" t="s">
        <v>74</v>
      </c>
      <c r="BA516" t="s">
        <v>74</v>
      </c>
      <c r="BB516">
        <v>2273</v>
      </c>
      <c r="BC516">
        <v>2289</v>
      </c>
      <c r="BD516" t="s">
        <v>74</v>
      </c>
      <c r="BE516" t="s">
        <v>8767</v>
      </c>
      <c r="BF516" t="str">
        <f>HYPERLINK("http://dx.doi.org/10.1098/rstb.2006.1945","http://dx.doi.org/10.1098/rstb.2006.1945")</f>
        <v>http://dx.doi.org/10.1098/rstb.2006.1945</v>
      </c>
      <c r="BG516" t="s">
        <v>74</v>
      </c>
      <c r="BH516" t="s">
        <v>74</v>
      </c>
      <c r="BI516">
        <v>17</v>
      </c>
      <c r="BJ516" t="s">
        <v>4848</v>
      </c>
      <c r="BK516" t="s">
        <v>97</v>
      </c>
      <c r="BL516" t="s">
        <v>4849</v>
      </c>
      <c r="BM516" t="s">
        <v>8688</v>
      </c>
      <c r="BN516">
        <v>17553775</v>
      </c>
      <c r="BO516" t="s">
        <v>3777</v>
      </c>
      <c r="BP516" t="s">
        <v>74</v>
      </c>
      <c r="BQ516" t="s">
        <v>74</v>
      </c>
      <c r="BR516" t="s">
        <v>100</v>
      </c>
      <c r="BS516" t="s">
        <v>8768</v>
      </c>
      <c r="BT516" t="str">
        <f>HYPERLINK("https%3A%2F%2Fwww.webofscience.com%2Fwos%2Fwoscc%2Ffull-record%2FWOS:000250644100007","View Full Record in Web of Science")</f>
        <v>View Full Record in Web of Science</v>
      </c>
    </row>
    <row r="517" spans="1:72" x14ac:dyDescent="0.15">
      <c r="A517" t="s">
        <v>72</v>
      </c>
      <c r="B517" t="s">
        <v>8769</v>
      </c>
      <c r="C517" t="s">
        <v>74</v>
      </c>
      <c r="D517" t="s">
        <v>74</v>
      </c>
      <c r="E517" t="s">
        <v>74</v>
      </c>
      <c r="F517" t="s">
        <v>8770</v>
      </c>
      <c r="G517" t="s">
        <v>74</v>
      </c>
      <c r="H517" t="s">
        <v>74</v>
      </c>
      <c r="I517" t="s">
        <v>8771</v>
      </c>
      <c r="J517" t="s">
        <v>8675</v>
      </c>
      <c r="K517" t="s">
        <v>74</v>
      </c>
      <c r="L517" t="s">
        <v>74</v>
      </c>
      <c r="M517" t="s">
        <v>78</v>
      </c>
      <c r="N517" t="s">
        <v>106</v>
      </c>
      <c r="O517" t="s">
        <v>74</v>
      </c>
      <c r="P517" t="s">
        <v>74</v>
      </c>
      <c r="Q517" t="s">
        <v>74</v>
      </c>
      <c r="R517" t="s">
        <v>74</v>
      </c>
      <c r="S517" t="s">
        <v>74</v>
      </c>
      <c r="T517" t="s">
        <v>8772</v>
      </c>
      <c r="U517" t="s">
        <v>8773</v>
      </c>
      <c r="V517" t="s">
        <v>8774</v>
      </c>
      <c r="W517" t="s">
        <v>8775</v>
      </c>
      <c r="X517" t="s">
        <v>8776</v>
      </c>
      <c r="Y517" t="s">
        <v>8777</v>
      </c>
      <c r="Z517" t="s">
        <v>8778</v>
      </c>
      <c r="AA517" t="s">
        <v>8779</v>
      </c>
      <c r="AB517" t="s">
        <v>74</v>
      </c>
      <c r="AC517" t="s">
        <v>74</v>
      </c>
      <c r="AD517" t="s">
        <v>74</v>
      </c>
      <c r="AE517" t="s">
        <v>74</v>
      </c>
      <c r="AF517" t="s">
        <v>74</v>
      </c>
      <c r="AG517">
        <v>143</v>
      </c>
      <c r="AH517">
        <v>83</v>
      </c>
      <c r="AI517">
        <v>92</v>
      </c>
      <c r="AJ517">
        <v>5</v>
      </c>
      <c r="AK517">
        <v>69</v>
      </c>
      <c r="AL517" t="s">
        <v>8681</v>
      </c>
      <c r="AM517" t="s">
        <v>118</v>
      </c>
      <c r="AN517" t="s">
        <v>8682</v>
      </c>
      <c r="AO517" t="s">
        <v>8683</v>
      </c>
      <c r="AP517" t="s">
        <v>8684</v>
      </c>
      <c r="AQ517" t="s">
        <v>74</v>
      </c>
      <c r="AR517" t="s">
        <v>8685</v>
      </c>
      <c r="AS517" t="s">
        <v>8686</v>
      </c>
      <c r="AT517" t="s">
        <v>8666</v>
      </c>
      <c r="AU517">
        <v>2007</v>
      </c>
      <c r="AV517">
        <v>362</v>
      </c>
      <c r="AW517">
        <v>1488</v>
      </c>
      <c r="AX517" t="s">
        <v>74</v>
      </c>
      <c r="AY517" t="s">
        <v>74</v>
      </c>
      <c r="AZ517" t="s">
        <v>74</v>
      </c>
      <c r="BA517" t="s">
        <v>74</v>
      </c>
      <c r="BB517">
        <v>2291</v>
      </c>
      <c r="BC517">
        <v>2306</v>
      </c>
      <c r="BD517" t="s">
        <v>74</v>
      </c>
      <c r="BE517" t="s">
        <v>8780</v>
      </c>
      <c r="BF517" t="str">
        <f>HYPERLINK("http://dx.doi.org/10.1098/rstb.2006.1950","http://dx.doi.org/10.1098/rstb.2006.1950")</f>
        <v>http://dx.doi.org/10.1098/rstb.2006.1950</v>
      </c>
      <c r="BG517" t="s">
        <v>74</v>
      </c>
      <c r="BH517" t="s">
        <v>74</v>
      </c>
      <c r="BI517">
        <v>16</v>
      </c>
      <c r="BJ517" t="s">
        <v>4848</v>
      </c>
      <c r="BK517" t="s">
        <v>97</v>
      </c>
      <c r="BL517" t="s">
        <v>4849</v>
      </c>
      <c r="BM517" t="s">
        <v>8688</v>
      </c>
      <c r="BN517">
        <v>17553769</v>
      </c>
      <c r="BO517" t="s">
        <v>3777</v>
      </c>
      <c r="BP517" t="s">
        <v>74</v>
      </c>
      <c r="BQ517" t="s">
        <v>74</v>
      </c>
      <c r="BR517" t="s">
        <v>100</v>
      </c>
      <c r="BS517" t="s">
        <v>8781</v>
      </c>
      <c r="BT517" t="str">
        <f>HYPERLINK("https%3A%2F%2Fwww.webofscience.com%2Fwos%2Fwoscc%2Ffull-record%2FWOS:000250644100008","View Full Record in Web of Science")</f>
        <v>View Full Record in Web of Science</v>
      </c>
    </row>
    <row r="518" spans="1:72" x14ac:dyDescent="0.15">
      <c r="A518" t="s">
        <v>72</v>
      </c>
      <c r="B518" t="s">
        <v>8782</v>
      </c>
      <c r="C518" t="s">
        <v>74</v>
      </c>
      <c r="D518" t="s">
        <v>74</v>
      </c>
      <c r="E518" t="s">
        <v>74</v>
      </c>
      <c r="F518" t="s">
        <v>8783</v>
      </c>
      <c r="G518" t="s">
        <v>74</v>
      </c>
      <c r="H518" t="s">
        <v>74</v>
      </c>
      <c r="I518" t="s">
        <v>8784</v>
      </c>
      <c r="J518" t="s">
        <v>8675</v>
      </c>
      <c r="K518" t="s">
        <v>74</v>
      </c>
      <c r="L518" t="s">
        <v>74</v>
      </c>
      <c r="M518" t="s">
        <v>78</v>
      </c>
      <c r="N518" t="s">
        <v>106</v>
      </c>
      <c r="O518" t="s">
        <v>74</v>
      </c>
      <c r="P518" t="s">
        <v>74</v>
      </c>
      <c r="Q518" t="s">
        <v>74</v>
      </c>
      <c r="R518" t="s">
        <v>74</v>
      </c>
      <c r="S518" t="s">
        <v>74</v>
      </c>
      <c r="T518" t="s">
        <v>8785</v>
      </c>
      <c r="U518" t="s">
        <v>8786</v>
      </c>
      <c r="V518" t="s">
        <v>8787</v>
      </c>
      <c r="W518" t="s">
        <v>8788</v>
      </c>
      <c r="X518" t="s">
        <v>8789</v>
      </c>
      <c r="Y518" t="s">
        <v>7394</v>
      </c>
      <c r="Z518" t="s">
        <v>7395</v>
      </c>
      <c r="AA518" t="s">
        <v>8790</v>
      </c>
      <c r="AB518" t="s">
        <v>8791</v>
      </c>
      <c r="AC518" t="s">
        <v>5743</v>
      </c>
      <c r="AD518" t="s">
        <v>242</v>
      </c>
      <c r="AE518" t="s">
        <v>74</v>
      </c>
      <c r="AF518" t="s">
        <v>74</v>
      </c>
      <c r="AG518">
        <v>311</v>
      </c>
      <c r="AH518">
        <v>158</v>
      </c>
      <c r="AI518">
        <v>169</v>
      </c>
      <c r="AJ518">
        <v>2</v>
      </c>
      <c r="AK518">
        <v>84</v>
      </c>
      <c r="AL518" t="s">
        <v>8681</v>
      </c>
      <c r="AM518" t="s">
        <v>118</v>
      </c>
      <c r="AN518" t="s">
        <v>8682</v>
      </c>
      <c r="AO518" t="s">
        <v>8683</v>
      </c>
      <c r="AP518" t="s">
        <v>8684</v>
      </c>
      <c r="AQ518" t="s">
        <v>74</v>
      </c>
      <c r="AR518" t="s">
        <v>8685</v>
      </c>
      <c r="AS518" t="s">
        <v>8686</v>
      </c>
      <c r="AT518" t="s">
        <v>8666</v>
      </c>
      <c r="AU518">
        <v>2007</v>
      </c>
      <c r="AV518">
        <v>362</v>
      </c>
      <c r="AW518">
        <v>1488</v>
      </c>
      <c r="AX518" t="s">
        <v>74</v>
      </c>
      <c r="AY518" t="s">
        <v>74</v>
      </c>
      <c r="AZ518" t="s">
        <v>74</v>
      </c>
      <c r="BA518" t="s">
        <v>74</v>
      </c>
      <c r="BB518">
        <v>2307</v>
      </c>
      <c r="BC518">
        <v>2331</v>
      </c>
      <c r="BD518" t="s">
        <v>74</v>
      </c>
      <c r="BE518" t="s">
        <v>8792</v>
      </c>
      <c r="BF518" t="str">
        <f>HYPERLINK("http://dx.doi.org/10.1098/rstb.2006.1949","http://dx.doi.org/10.1098/rstb.2006.1949")</f>
        <v>http://dx.doi.org/10.1098/rstb.2006.1949</v>
      </c>
      <c r="BG518" t="s">
        <v>74</v>
      </c>
      <c r="BH518" t="s">
        <v>74</v>
      </c>
      <c r="BI518">
        <v>25</v>
      </c>
      <c r="BJ518" t="s">
        <v>4848</v>
      </c>
      <c r="BK518" t="s">
        <v>97</v>
      </c>
      <c r="BL518" t="s">
        <v>4849</v>
      </c>
      <c r="BM518" t="s">
        <v>8688</v>
      </c>
      <c r="BN518">
        <v>17553768</v>
      </c>
      <c r="BO518" t="s">
        <v>3777</v>
      </c>
      <c r="BP518" t="s">
        <v>74</v>
      </c>
      <c r="BQ518" t="s">
        <v>74</v>
      </c>
      <c r="BR518" t="s">
        <v>100</v>
      </c>
      <c r="BS518" t="s">
        <v>8793</v>
      </c>
      <c r="BT518" t="str">
        <f>HYPERLINK("https%3A%2F%2Fwww.webofscience.com%2Fwos%2Fwoscc%2Ffull-record%2FWOS:000250644100009","View Full Record in Web of Science")</f>
        <v>View Full Record in Web of Science</v>
      </c>
    </row>
    <row r="519" spans="1:72" x14ac:dyDescent="0.15">
      <c r="A519" t="s">
        <v>72</v>
      </c>
      <c r="B519" t="s">
        <v>8794</v>
      </c>
      <c r="C519" t="s">
        <v>74</v>
      </c>
      <c r="D519" t="s">
        <v>74</v>
      </c>
      <c r="E519" t="s">
        <v>74</v>
      </c>
      <c r="F519" t="s">
        <v>8795</v>
      </c>
      <c r="G519" t="s">
        <v>74</v>
      </c>
      <c r="H519" t="s">
        <v>74</v>
      </c>
      <c r="I519" t="s">
        <v>8796</v>
      </c>
      <c r="J519" t="s">
        <v>8675</v>
      </c>
      <c r="K519" t="s">
        <v>74</v>
      </c>
      <c r="L519" t="s">
        <v>74</v>
      </c>
      <c r="M519" t="s">
        <v>78</v>
      </c>
      <c r="N519" t="s">
        <v>106</v>
      </c>
      <c r="O519" t="s">
        <v>74</v>
      </c>
      <c r="P519" t="s">
        <v>74</v>
      </c>
      <c r="Q519" t="s">
        <v>74</v>
      </c>
      <c r="R519" t="s">
        <v>74</v>
      </c>
      <c r="S519" t="s">
        <v>74</v>
      </c>
      <c r="T519" t="s">
        <v>8797</v>
      </c>
      <c r="U519" t="s">
        <v>8798</v>
      </c>
      <c r="V519" t="s">
        <v>8799</v>
      </c>
      <c r="W519" t="s">
        <v>8800</v>
      </c>
      <c r="X519" t="s">
        <v>8801</v>
      </c>
      <c r="Y519" t="s">
        <v>8802</v>
      </c>
      <c r="Z519" t="s">
        <v>8803</v>
      </c>
      <c r="AA519" t="s">
        <v>74</v>
      </c>
      <c r="AB519" t="s">
        <v>74</v>
      </c>
      <c r="AC519" t="s">
        <v>6055</v>
      </c>
      <c r="AD519" t="s">
        <v>444</v>
      </c>
      <c r="AE519" t="s">
        <v>74</v>
      </c>
      <c r="AF519" t="s">
        <v>74</v>
      </c>
      <c r="AG519">
        <v>115</v>
      </c>
      <c r="AH519">
        <v>48</v>
      </c>
      <c r="AI519">
        <v>54</v>
      </c>
      <c r="AJ519">
        <v>5</v>
      </c>
      <c r="AK519">
        <v>66</v>
      </c>
      <c r="AL519" t="s">
        <v>8681</v>
      </c>
      <c r="AM519" t="s">
        <v>118</v>
      </c>
      <c r="AN519" t="s">
        <v>8682</v>
      </c>
      <c r="AO519" t="s">
        <v>8683</v>
      </c>
      <c r="AP519" t="s">
        <v>8684</v>
      </c>
      <c r="AQ519" t="s">
        <v>74</v>
      </c>
      <c r="AR519" t="s">
        <v>8685</v>
      </c>
      <c r="AS519" t="s">
        <v>8686</v>
      </c>
      <c r="AT519" t="s">
        <v>8666</v>
      </c>
      <c r="AU519">
        <v>2007</v>
      </c>
      <c r="AV519">
        <v>362</v>
      </c>
      <c r="AW519">
        <v>1488</v>
      </c>
      <c r="AX519" t="s">
        <v>74</v>
      </c>
      <c r="AY519" t="s">
        <v>74</v>
      </c>
      <c r="AZ519" t="s">
        <v>74</v>
      </c>
      <c r="BA519" t="s">
        <v>74</v>
      </c>
      <c r="BB519">
        <v>2333</v>
      </c>
      <c r="BC519">
        <v>2349</v>
      </c>
      <c r="BD519" t="s">
        <v>74</v>
      </c>
      <c r="BE519" t="s">
        <v>8804</v>
      </c>
      <c r="BF519" t="str">
        <f>HYPERLINK("http://dx.doi.org/10.1098/rstb.2006.1954","http://dx.doi.org/10.1098/rstb.2006.1954")</f>
        <v>http://dx.doi.org/10.1098/rstb.2006.1954</v>
      </c>
      <c r="BG519" t="s">
        <v>74</v>
      </c>
      <c r="BH519" t="s">
        <v>74</v>
      </c>
      <c r="BI519">
        <v>17</v>
      </c>
      <c r="BJ519" t="s">
        <v>4848</v>
      </c>
      <c r="BK519" t="s">
        <v>97</v>
      </c>
      <c r="BL519" t="s">
        <v>4849</v>
      </c>
      <c r="BM519" t="s">
        <v>8688</v>
      </c>
      <c r="BN519">
        <v>17553767</v>
      </c>
      <c r="BO519" t="s">
        <v>3777</v>
      </c>
      <c r="BP519" t="s">
        <v>74</v>
      </c>
      <c r="BQ519" t="s">
        <v>74</v>
      </c>
      <c r="BR519" t="s">
        <v>100</v>
      </c>
      <c r="BS519" t="s">
        <v>8805</v>
      </c>
      <c r="BT519" t="str">
        <f>HYPERLINK("https%3A%2F%2Fwww.webofscience.com%2Fwos%2Fwoscc%2Ffull-record%2FWOS:000250644100010","View Full Record in Web of Science")</f>
        <v>View Full Record in Web of Science</v>
      </c>
    </row>
    <row r="520" spans="1:72" x14ac:dyDescent="0.15">
      <c r="A520" t="s">
        <v>72</v>
      </c>
      <c r="B520" t="s">
        <v>8806</v>
      </c>
      <c r="C520" t="s">
        <v>74</v>
      </c>
      <c r="D520" t="s">
        <v>74</v>
      </c>
      <c r="E520" t="s">
        <v>74</v>
      </c>
      <c r="F520" t="s">
        <v>8807</v>
      </c>
      <c r="G520" t="s">
        <v>74</v>
      </c>
      <c r="H520" t="s">
        <v>74</v>
      </c>
      <c r="I520" t="s">
        <v>8808</v>
      </c>
      <c r="J520" t="s">
        <v>8675</v>
      </c>
      <c r="K520" t="s">
        <v>74</v>
      </c>
      <c r="L520" t="s">
        <v>74</v>
      </c>
      <c r="M520" t="s">
        <v>78</v>
      </c>
      <c r="N520" t="s">
        <v>106</v>
      </c>
      <c r="O520" t="s">
        <v>74</v>
      </c>
      <c r="P520" t="s">
        <v>74</v>
      </c>
      <c r="Q520" t="s">
        <v>74</v>
      </c>
      <c r="R520" t="s">
        <v>74</v>
      </c>
      <c r="S520" t="s">
        <v>74</v>
      </c>
      <c r="T520" t="s">
        <v>8809</v>
      </c>
      <c r="U520" t="s">
        <v>8810</v>
      </c>
      <c r="V520" t="s">
        <v>8811</v>
      </c>
      <c r="W520" t="s">
        <v>439</v>
      </c>
      <c r="X520" t="s">
        <v>440</v>
      </c>
      <c r="Y520" t="s">
        <v>8812</v>
      </c>
      <c r="Z520" t="s">
        <v>8813</v>
      </c>
      <c r="AA520" t="s">
        <v>8814</v>
      </c>
      <c r="AB520" t="s">
        <v>74</v>
      </c>
      <c r="AC520" t="s">
        <v>6055</v>
      </c>
      <c r="AD520" t="s">
        <v>444</v>
      </c>
      <c r="AE520" t="s">
        <v>74</v>
      </c>
      <c r="AF520" t="s">
        <v>74</v>
      </c>
      <c r="AG520">
        <v>116</v>
      </c>
      <c r="AH520">
        <v>169</v>
      </c>
      <c r="AI520">
        <v>192</v>
      </c>
      <c r="AJ520">
        <v>4</v>
      </c>
      <c r="AK520">
        <v>120</v>
      </c>
      <c r="AL520" t="s">
        <v>8681</v>
      </c>
      <c r="AM520" t="s">
        <v>118</v>
      </c>
      <c r="AN520" t="s">
        <v>8682</v>
      </c>
      <c r="AO520" t="s">
        <v>8683</v>
      </c>
      <c r="AP520" t="s">
        <v>8684</v>
      </c>
      <c r="AQ520" t="s">
        <v>74</v>
      </c>
      <c r="AR520" t="s">
        <v>8685</v>
      </c>
      <c r="AS520" t="s">
        <v>8686</v>
      </c>
      <c r="AT520" t="s">
        <v>8666</v>
      </c>
      <c r="AU520">
        <v>2007</v>
      </c>
      <c r="AV520">
        <v>362</v>
      </c>
      <c r="AW520">
        <v>1488</v>
      </c>
      <c r="AX520" t="s">
        <v>74</v>
      </c>
      <c r="AY520" t="s">
        <v>74</v>
      </c>
      <c r="AZ520" t="s">
        <v>74</v>
      </c>
      <c r="BA520" t="s">
        <v>74</v>
      </c>
      <c r="BB520">
        <v>2351</v>
      </c>
      <c r="BC520">
        <v>2365</v>
      </c>
      <c r="BD520" t="s">
        <v>74</v>
      </c>
      <c r="BE520" t="s">
        <v>8815</v>
      </c>
      <c r="BF520" t="str">
        <f>HYPERLINK("http://dx.doi.org/10.1098/rstb.2006.1953","http://dx.doi.org/10.1098/rstb.2006.1953")</f>
        <v>http://dx.doi.org/10.1098/rstb.2006.1953</v>
      </c>
      <c r="BG520" t="s">
        <v>74</v>
      </c>
      <c r="BH520" t="s">
        <v>74</v>
      </c>
      <c r="BI520">
        <v>15</v>
      </c>
      <c r="BJ520" t="s">
        <v>4848</v>
      </c>
      <c r="BK520" t="s">
        <v>97</v>
      </c>
      <c r="BL520" t="s">
        <v>4849</v>
      </c>
      <c r="BM520" t="s">
        <v>8688</v>
      </c>
      <c r="BN520">
        <v>17553770</v>
      </c>
      <c r="BO520" t="s">
        <v>3777</v>
      </c>
      <c r="BP520" t="s">
        <v>74</v>
      </c>
      <c r="BQ520" t="s">
        <v>74</v>
      </c>
      <c r="BR520" t="s">
        <v>100</v>
      </c>
      <c r="BS520" t="s">
        <v>8816</v>
      </c>
      <c r="BT520" t="str">
        <f>HYPERLINK("https%3A%2F%2Fwww.webofscience.com%2Fwos%2Fwoscc%2Ffull-record%2FWOS:000250644100011","View Full Record in Web of Science")</f>
        <v>View Full Record in Web of Science</v>
      </c>
    </row>
    <row r="521" spans="1:72" x14ac:dyDescent="0.15">
      <c r="A521" t="s">
        <v>72</v>
      </c>
      <c r="B521" t="s">
        <v>8817</v>
      </c>
      <c r="C521" t="s">
        <v>74</v>
      </c>
      <c r="D521" t="s">
        <v>74</v>
      </c>
      <c r="E521" t="s">
        <v>74</v>
      </c>
      <c r="F521" t="s">
        <v>8818</v>
      </c>
      <c r="G521" t="s">
        <v>74</v>
      </c>
      <c r="H521" t="s">
        <v>74</v>
      </c>
      <c r="I521" t="s">
        <v>8819</v>
      </c>
      <c r="J521" t="s">
        <v>8820</v>
      </c>
      <c r="K521" t="s">
        <v>74</v>
      </c>
      <c r="L521" t="s">
        <v>74</v>
      </c>
      <c r="M521" t="s">
        <v>78</v>
      </c>
      <c r="N521" t="s">
        <v>79</v>
      </c>
      <c r="O521" t="s">
        <v>74</v>
      </c>
      <c r="P521" t="s">
        <v>74</v>
      </c>
      <c r="Q521" t="s">
        <v>74</v>
      </c>
      <c r="R521" t="s">
        <v>74</v>
      </c>
      <c r="S521" t="s">
        <v>74</v>
      </c>
      <c r="T521" t="s">
        <v>74</v>
      </c>
      <c r="U521" t="s">
        <v>8821</v>
      </c>
      <c r="V521" t="s">
        <v>8822</v>
      </c>
      <c r="W521" t="s">
        <v>8823</v>
      </c>
      <c r="X521" t="s">
        <v>2624</v>
      </c>
      <c r="Y521" t="s">
        <v>8824</v>
      </c>
      <c r="Z521" t="s">
        <v>8825</v>
      </c>
      <c r="AA521" t="s">
        <v>74</v>
      </c>
      <c r="AB521" t="s">
        <v>74</v>
      </c>
      <c r="AC521" t="s">
        <v>74</v>
      </c>
      <c r="AD521" t="s">
        <v>74</v>
      </c>
      <c r="AE521" t="s">
        <v>74</v>
      </c>
      <c r="AF521" t="s">
        <v>74</v>
      </c>
      <c r="AG521">
        <v>58</v>
      </c>
      <c r="AH521">
        <v>12</v>
      </c>
      <c r="AI521">
        <v>17</v>
      </c>
      <c r="AJ521">
        <v>0</v>
      </c>
      <c r="AK521">
        <v>16</v>
      </c>
      <c r="AL521" t="s">
        <v>8826</v>
      </c>
      <c r="AM521" t="s">
        <v>8827</v>
      </c>
      <c r="AN521" t="s">
        <v>8828</v>
      </c>
      <c r="AO521" t="s">
        <v>8829</v>
      </c>
      <c r="AP521" t="s">
        <v>74</v>
      </c>
      <c r="AQ521" t="s">
        <v>74</v>
      </c>
      <c r="AR521" t="s">
        <v>8820</v>
      </c>
      <c r="AS521" t="s">
        <v>8830</v>
      </c>
      <c r="AT521" t="s">
        <v>8831</v>
      </c>
      <c r="AU521">
        <v>2007</v>
      </c>
      <c r="AV521" t="s">
        <v>74</v>
      </c>
      <c r="AW521">
        <v>4</v>
      </c>
      <c r="AX521" t="s">
        <v>74</v>
      </c>
      <c r="AY521" t="s">
        <v>74</v>
      </c>
      <c r="AZ521" t="s">
        <v>74</v>
      </c>
      <c r="BA521" t="s">
        <v>74</v>
      </c>
      <c r="BB521">
        <v>886</v>
      </c>
      <c r="BC521">
        <v>900</v>
      </c>
      <c r="BD521" t="s">
        <v>74</v>
      </c>
      <c r="BE521" t="s">
        <v>74</v>
      </c>
      <c r="BF521" t="s">
        <v>74</v>
      </c>
      <c r="BG521" t="s">
        <v>74</v>
      </c>
      <c r="BH521" t="s">
        <v>74</v>
      </c>
      <c r="BI521">
        <v>15</v>
      </c>
      <c r="BJ521" t="s">
        <v>4825</v>
      </c>
      <c r="BK521" t="s">
        <v>97</v>
      </c>
      <c r="BL521" t="s">
        <v>4825</v>
      </c>
      <c r="BM521" t="s">
        <v>8832</v>
      </c>
      <c r="BN521" t="s">
        <v>74</v>
      </c>
      <c r="BO521" t="s">
        <v>74</v>
      </c>
      <c r="BP521" t="s">
        <v>74</v>
      </c>
      <c r="BQ521" t="s">
        <v>74</v>
      </c>
      <c r="BR521" t="s">
        <v>100</v>
      </c>
      <c r="BS521" t="s">
        <v>8833</v>
      </c>
      <c r="BT521" t="str">
        <f>HYPERLINK("https%3A%2F%2Fwww.webofscience.com%2Fwos%2Fwoscc%2Ffull-record%2FWOS:000252100300011","View Full Record in Web of Science")</f>
        <v>View Full Record in Web of Science</v>
      </c>
    </row>
    <row r="522" spans="1:72" x14ac:dyDescent="0.15">
      <c r="A522" t="s">
        <v>72</v>
      </c>
      <c r="B522" t="s">
        <v>8834</v>
      </c>
      <c r="C522" t="s">
        <v>74</v>
      </c>
      <c r="D522" t="s">
        <v>74</v>
      </c>
      <c r="E522" t="s">
        <v>74</v>
      </c>
      <c r="F522" t="s">
        <v>8835</v>
      </c>
      <c r="G522" t="s">
        <v>74</v>
      </c>
      <c r="H522" t="s">
        <v>74</v>
      </c>
      <c r="I522" t="s">
        <v>8836</v>
      </c>
      <c r="J522" t="s">
        <v>184</v>
      </c>
      <c r="K522" t="s">
        <v>74</v>
      </c>
      <c r="L522" t="s">
        <v>74</v>
      </c>
      <c r="M522" t="s">
        <v>78</v>
      </c>
      <c r="N522" t="s">
        <v>79</v>
      </c>
      <c r="O522" t="s">
        <v>74</v>
      </c>
      <c r="P522" t="s">
        <v>74</v>
      </c>
      <c r="Q522" t="s">
        <v>74</v>
      </c>
      <c r="R522" t="s">
        <v>74</v>
      </c>
      <c r="S522" t="s">
        <v>74</v>
      </c>
      <c r="T522" t="s">
        <v>74</v>
      </c>
      <c r="U522" t="s">
        <v>8837</v>
      </c>
      <c r="V522" t="s">
        <v>8838</v>
      </c>
      <c r="W522" t="s">
        <v>8839</v>
      </c>
      <c r="X522" t="s">
        <v>8840</v>
      </c>
      <c r="Y522" t="s">
        <v>8841</v>
      </c>
      <c r="Z522" t="s">
        <v>74</v>
      </c>
      <c r="AA522" t="s">
        <v>74</v>
      </c>
      <c r="AB522" t="s">
        <v>8842</v>
      </c>
      <c r="AC522" t="s">
        <v>74</v>
      </c>
      <c r="AD522" t="s">
        <v>74</v>
      </c>
      <c r="AE522" t="s">
        <v>74</v>
      </c>
      <c r="AF522" t="s">
        <v>74</v>
      </c>
      <c r="AG522">
        <v>62</v>
      </c>
      <c r="AH522">
        <v>37</v>
      </c>
      <c r="AI522">
        <v>40</v>
      </c>
      <c r="AJ522">
        <v>1</v>
      </c>
      <c r="AK522">
        <v>12</v>
      </c>
      <c r="AL522" t="s">
        <v>193</v>
      </c>
      <c r="AM522" t="s">
        <v>194</v>
      </c>
      <c r="AN522" t="s">
        <v>195</v>
      </c>
      <c r="AO522" t="s">
        <v>196</v>
      </c>
      <c r="AP522" t="s">
        <v>197</v>
      </c>
      <c r="AQ522" t="s">
        <v>74</v>
      </c>
      <c r="AR522" t="s">
        <v>198</v>
      </c>
      <c r="AS522" t="s">
        <v>199</v>
      </c>
      <c r="AT522" t="s">
        <v>8831</v>
      </c>
      <c r="AU522">
        <v>2007</v>
      </c>
      <c r="AV522">
        <v>112</v>
      </c>
      <c r="AW522" t="s">
        <v>8843</v>
      </c>
      <c r="AX522" t="s">
        <v>74</v>
      </c>
      <c r="AY522" t="s">
        <v>74</v>
      </c>
      <c r="AZ522" t="s">
        <v>74</v>
      </c>
      <c r="BA522" t="s">
        <v>74</v>
      </c>
      <c r="BB522" t="s">
        <v>74</v>
      </c>
      <c r="BC522" t="s">
        <v>74</v>
      </c>
      <c r="BD522" t="s">
        <v>8844</v>
      </c>
      <c r="BE522" t="s">
        <v>8845</v>
      </c>
      <c r="BF522" t="str">
        <f>HYPERLINK("http://dx.doi.org/10.1029/2006JD008239","http://dx.doi.org/10.1029/2006JD008239")</f>
        <v>http://dx.doi.org/10.1029/2006JD008239</v>
      </c>
      <c r="BG522" t="s">
        <v>74</v>
      </c>
      <c r="BH522" t="s">
        <v>74</v>
      </c>
      <c r="BI522">
        <v>14</v>
      </c>
      <c r="BJ522" t="s">
        <v>204</v>
      </c>
      <c r="BK522" t="s">
        <v>97</v>
      </c>
      <c r="BL522" t="s">
        <v>204</v>
      </c>
      <c r="BM522" t="s">
        <v>8846</v>
      </c>
      <c r="BN522" t="s">
        <v>74</v>
      </c>
      <c r="BO522" t="s">
        <v>179</v>
      </c>
      <c r="BP522" t="s">
        <v>74</v>
      </c>
      <c r="BQ522" t="s">
        <v>74</v>
      </c>
      <c r="BR522" t="s">
        <v>100</v>
      </c>
      <c r="BS522" t="s">
        <v>8847</v>
      </c>
      <c r="BT522" t="str">
        <f>HYPERLINK("https%3A%2F%2Fwww.webofscience.com%2Fwos%2Fwoscc%2Ffull-record%2FWOS:000252013700004","View Full Record in Web of Science")</f>
        <v>View Full Record in Web of Science</v>
      </c>
    </row>
    <row r="523" spans="1:72" x14ac:dyDescent="0.15">
      <c r="A523" t="s">
        <v>72</v>
      </c>
      <c r="B523" t="s">
        <v>8848</v>
      </c>
      <c r="C523" t="s">
        <v>74</v>
      </c>
      <c r="D523" t="s">
        <v>74</v>
      </c>
      <c r="E523" t="s">
        <v>74</v>
      </c>
      <c r="F523" t="s">
        <v>8849</v>
      </c>
      <c r="G523" t="s">
        <v>74</v>
      </c>
      <c r="H523" t="s">
        <v>74</v>
      </c>
      <c r="I523" t="s">
        <v>8850</v>
      </c>
      <c r="J523" t="s">
        <v>184</v>
      </c>
      <c r="K523" t="s">
        <v>74</v>
      </c>
      <c r="L523" t="s">
        <v>74</v>
      </c>
      <c r="M523" t="s">
        <v>78</v>
      </c>
      <c r="N523" t="s">
        <v>79</v>
      </c>
      <c r="O523" t="s">
        <v>74</v>
      </c>
      <c r="P523" t="s">
        <v>74</v>
      </c>
      <c r="Q523" t="s">
        <v>74</v>
      </c>
      <c r="R523" t="s">
        <v>74</v>
      </c>
      <c r="S523" t="s">
        <v>74</v>
      </c>
      <c r="T523" t="s">
        <v>74</v>
      </c>
      <c r="U523" t="s">
        <v>8851</v>
      </c>
      <c r="V523" t="s">
        <v>8852</v>
      </c>
      <c r="W523" t="s">
        <v>8853</v>
      </c>
      <c r="X523" t="s">
        <v>5317</v>
      </c>
      <c r="Y523" t="s">
        <v>8854</v>
      </c>
      <c r="Z523" t="s">
        <v>8855</v>
      </c>
      <c r="AA523" t="s">
        <v>74</v>
      </c>
      <c r="AB523" t="s">
        <v>74</v>
      </c>
      <c r="AC523" t="s">
        <v>74</v>
      </c>
      <c r="AD523" t="s">
        <v>74</v>
      </c>
      <c r="AE523" t="s">
        <v>74</v>
      </c>
      <c r="AF523" t="s">
        <v>74</v>
      </c>
      <c r="AG523">
        <v>57</v>
      </c>
      <c r="AH523">
        <v>25</v>
      </c>
      <c r="AI523">
        <v>27</v>
      </c>
      <c r="AJ523">
        <v>0</v>
      </c>
      <c r="AK523">
        <v>28</v>
      </c>
      <c r="AL523" t="s">
        <v>193</v>
      </c>
      <c r="AM523" t="s">
        <v>194</v>
      </c>
      <c r="AN523" t="s">
        <v>195</v>
      </c>
      <c r="AO523" t="s">
        <v>196</v>
      </c>
      <c r="AP523" t="s">
        <v>197</v>
      </c>
      <c r="AQ523" t="s">
        <v>74</v>
      </c>
      <c r="AR523" t="s">
        <v>198</v>
      </c>
      <c r="AS523" t="s">
        <v>199</v>
      </c>
      <c r="AT523" t="s">
        <v>8856</v>
      </c>
      <c r="AU523">
        <v>2007</v>
      </c>
      <c r="AV523">
        <v>112</v>
      </c>
      <c r="AW523" t="s">
        <v>8843</v>
      </c>
      <c r="AX523" t="s">
        <v>74</v>
      </c>
      <c r="AY523" t="s">
        <v>74</v>
      </c>
      <c r="AZ523" t="s">
        <v>74</v>
      </c>
      <c r="BA523" t="s">
        <v>74</v>
      </c>
      <c r="BB523" t="s">
        <v>74</v>
      </c>
      <c r="BC523" t="s">
        <v>74</v>
      </c>
      <c r="BD523" t="s">
        <v>8857</v>
      </c>
      <c r="BE523" t="s">
        <v>8858</v>
      </c>
      <c r="BF523" t="str">
        <f>HYPERLINK("http://dx.doi.org/10.1029/2007JD008695","http://dx.doi.org/10.1029/2007JD008695")</f>
        <v>http://dx.doi.org/10.1029/2007JD008695</v>
      </c>
      <c r="BG523" t="s">
        <v>74</v>
      </c>
      <c r="BH523" t="s">
        <v>74</v>
      </c>
      <c r="BI523">
        <v>14</v>
      </c>
      <c r="BJ523" t="s">
        <v>204</v>
      </c>
      <c r="BK523" t="s">
        <v>97</v>
      </c>
      <c r="BL523" t="s">
        <v>204</v>
      </c>
      <c r="BM523" t="s">
        <v>8859</v>
      </c>
      <c r="BN523" t="s">
        <v>74</v>
      </c>
      <c r="BO523" t="s">
        <v>179</v>
      </c>
      <c r="BP523" t="s">
        <v>74</v>
      </c>
      <c r="BQ523" t="s">
        <v>74</v>
      </c>
      <c r="BR523" t="s">
        <v>100</v>
      </c>
      <c r="BS523" t="s">
        <v>8860</v>
      </c>
      <c r="BT523" t="str">
        <f>HYPERLINK("https%3A%2F%2Fwww.webofscience.com%2Fwos%2Fwoscc%2Ffull-record%2FWOS:000252013600003","View Full Record in Web of Science")</f>
        <v>View Full Record in Web of Science</v>
      </c>
    </row>
    <row r="524" spans="1:72" x14ac:dyDescent="0.15">
      <c r="A524" t="s">
        <v>72</v>
      </c>
      <c r="B524" t="s">
        <v>8861</v>
      </c>
      <c r="C524" t="s">
        <v>74</v>
      </c>
      <c r="D524" t="s">
        <v>74</v>
      </c>
      <c r="E524" t="s">
        <v>74</v>
      </c>
      <c r="F524" t="s">
        <v>8862</v>
      </c>
      <c r="G524" t="s">
        <v>74</v>
      </c>
      <c r="H524" t="s">
        <v>74</v>
      </c>
      <c r="I524" t="s">
        <v>8863</v>
      </c>
      <c r="J524" t="s">
        <v>8864</v>
      </c>
      <c r="K524" t="s">
        <v>74</v>
      </c>
      <c r="L524" t="s">
        <v>74</v>
      </c>
      <c r="M524" t="s">
        <v>78</v>
      </c>
      <c r="N524" t="s">
        <v>79</v>
      </c>
      <c r="O524" t="s">
        <v>74</v>
      </c>
      <c r="P524" t="s">
        <v>74</v>
      </c>
      <c r="Q524" t="s">
        <v>74</v>
      </c>
      <c r="R524" t="s">
        <v>74</v>
      </c>
      <c r="S524" t="s">
        <v>74</v>
      </c>
      <c r="T524" t="s">
        <v>74</v>
      </c>
      <c r="U524" t="s">
        <v>74</v>
      </c>
      <c r="V524" t="s">
        <v>74</v>
      </c>
      <c r="W524" t="s">
        <v>8865</v>
      </c>
      <c r="X524" t="s">
        <v>8866</v>
      </c>
      <c r="Y524" t="s">
        <v>8867</v>
      </c>
      <c r="Z524" t="s">
        <v>8868</v>
      </c>
      <c r="AA524" t="s">
        <v>8869</v>
      </c>
      <c r="AB524" t="s">
        <v>8870</v>
      </c>
      <c r="AC524" t="s">
        <v>74</v>
      </c>
      <c r="AD524" t="s">
        <v>74</v>
      </c>
      <c r="AE524" t="s">
        <v>74</v>
      </c>
      <c r="AF524" t="s">
        <v>74</v>
      </c>
      <c r="AG524">
        <v>7</v>
      </c>
      <c r="AH524">
        <v>12</v>
      </c>
      <c r="AI524">
        <v>13</v>
      </c>
      <c r="AJ524">
        <v>0</v>
      </c>
      <c r="AK524">
        <v>1</v>
      </c>
      <c r="AL524" t="s">
        <v>8871</v>
      </c>
      <c r="AM524" t="s">
        <v>8872</v>
      </c>
      <c r="AN524" t="s">
        <v>8873</v>
      </c>
      <c r="AO524" t="s">
        <v>8874</v>
      </c>
      <c r="AP524" t="s">
        <v>74</v>
      </c>
      <c r="AQ524" t="s">
        <v>74</v>
      </c>
      <c r="AR524" t="s">
        <v>8875</v>
      </c>
      <c r="AS524" t="s">
        <v>8876</v>
      </c>
      <c r="AT524" t="s">
        <v>8877</v>
      </c>
      <c r="AU524">
        <v>2007</v>
      </c>
      <c r="AV524">
        <v>93</v>
      </c>
      <c r="AW524">
        <v>12</v>
      </c>
      <c r="AX524" t="s">
        <v>74</v>
      </c>
      <c r="AY524" t="s">
        <v>74</v>
      </c>
      <c r="AZ524" t="s">
        <v>74</v>
      </c>
      <c r="BA524" t="s">
        <v>74</v>
      </c>
      <c r="BB524">
        <v>1670</v>
      </c>
      <c r="BC524">
        <v>1672</v>
      </c>
      <c r="BD524" t="s">
        <v>74</v>
      </c>
      <c r="BE524" t="s">
        <v>74</v>
      </c>
      <c r="BF524" t="s">
        <v>74</v>
      </c>
      <c r="BG524" t="s">
        <v>74</v>
      </c>
      <c r="BH524" t="s">
        <v>74</v>
      </c>
      <c r="BI524">
        <v>3</v>
      </c>
      <c r="BJ524" t="s">
        <v>684</v>
      </c>
      <c r="BK524" t="s">
        <v>97</v>
      </c>
      <c r="BL524" t="s">
        <v>685</v>
      </c>
      <c r="BM524" t="s">
        <v>8878</v>
      </c>
      <c r="BN524" t="s">
        <v>74</v>
      </c>
      <c r="BO524" t="s">
        <v>74</v>
      </c>
      <c r="BP524" t="s">
        <v>74</v>
      </c>
      <c r="BQ524" t="s">
        <v>74</v>
      </c>
      <c r="BR524" t="s">
        <v>100</v>
      </c>
      <c r="BS524" t="s">
        <v>8879</v>
      </c>
      <c r="BT524" t="str">
        <f>HYPERLINK("https%3A%2F%2Fwww.webofscience.com%2Fwos%2Fwoscc%2Ffull-record%2FWOS:000252249700017","View Full Record in Web of Science")</f>
        <v>View Full Record in Web of Science</v>
      </c>
    </row>
    <row r="525" spans="1:72" x14ac:dyDescent="0.15">
      <c r="A525" t="s">
        <v>72</v>
      </c>
      <c r="B525" t="s">
        <v>8880</v>
      </c>
      <c r="C525" t="s">
        <v>74</v>
      </c>
      <c r="D525" t="s">
        <v>74</v>
      </c>
      <c r="E525" t="s">
        <v>74</v>
      </c>
      <c r="F525" t="s">
        <v>8881</v>
      </c>
      <c r="G525" t="s">
        <v>74</v>
      </c>
      <c r="H525" t="s">
        <v>74</v>
      </c>
      <c r="I525" t="s">
        <v>8882</v>
      </c>
      <c r="J525" t="s">
        <v>8883</v>
      </c>
      <c r="K525" t="s">
        <v>74</v>
      </c>
      <c r="L525" t="s">
        <v>74</v>
      </c>
      <c r="M525" t="s">
        <v>78</v>
      </c>
      <c r="N525" t="s">
        <v>79</v>
      </c>
      <c r="O525" t="s">
        <v>74</v>
      </c>
      <c r="P525" t="s">
        <v>74</v>
      </c>
      <c r="Q525" t="s">
        <v>74</v>
      </c>
      <c r="R525" t="s">
        <v>74</v>
      </c>
      <c r="S525" t="s">
        <v>74</v>
      </c>
      <c r="T525" t="s">
        <v>74</v>
      </c>
      <c r="U525" t="s">
        <v>8884</v>
      </c>
      <c r="V525" t="s">
        <v>8885</v>
      </c>
      <c r="W525" t="s">
        <v>8886</v>
      </c>
      <c r="X525" t="s">
        <v>8887</v>
      </c>
      <c r="Y525" t="s">
        <v>8888</v>
      </c>
      <c r="Z525" t="s">
        <v>74</v>
      </c>
      <c r="AA525" t="s">
        <v>8889</v>
      </c>
      <c r="AB525" t="s">
        <v>8890</v>
      </c>
      <c r="AC525" t="s">
        <v>74</v>
      </c>
      <c r="AD525" t="s">
        <v>74</v>
      </c>
      <c r="AE525" t="s">
        <v>74</v>
      </c>
      <c r="AF525" t="s">
        <v>74</v>
      </c>
      <c r="AG525">
        <v>38</v>
      </c>
      <c r="AH525">
        <v>8</v>
      </c>
      <c r="AI525">
        <v>10</v>
      </c>
      <c r="AJ525">
        <v>1</v>
      </c>
      <c r="AK525">
        <v>10</v>
      </c>
      <c r="AL525" t="s">
        <v>193</v>
      </c>
      <c r="AM525" t="s">
        <v>194</v>
      </c>
      <c r="AN525" t="s">
        <v>195</v>
      </c>
      <c r="AO525" t="s">
        <v>8891</v>
      </c>
      <c r="AP525" t="s">
        <v>74</v>
      </c>
      <c r="AQ525" t="s">
        <v>74</v>
      </c>
      <c r="AR525" t="s">
        <v>8892</v>
      </c>
      <c r="AS525" t="s">
        <v>8893</v>
      </c>
      <c r="AT525" t="s">
        <v>8894</v>
      </c>
      <c r="AU525">
        <v>2007</v>
      </c>
      <c r="AV525">
        <v>21</v>
      </c>
      <c r="AW525">
        <v>4</v>
      </c>
      <c r="AX525" t="s">
        <v>74</v>
      </c>
      <c r="AY525" t="s">
        <v>74</v>
      </c>
      <c r="AZ525" t="s">
        <v>74</v>
      </c>
      <c r="BA525" t="s">
        <v>74</v>
      </c>
      <c r="BB525" t="s">
        <v>74</v>
      </c>
      <c r="BC525" t="s">
        <v>74</v>
      </c>
      <c r="BD525" t="s">
        <v>8895</v>
      </c>
      <c r="BE525" t="s">
        <v>8896</v>
      </c>
      <c r="BF525" t="str">
        <f>HYPERLINK("http://dx.doi.org/10.1029/2007GB002972","http://dx.doi.org/10.1029/2007GB002972")</f>
        <v>http://dx.doi.org/10.1029/2007GB002972</v>
      </c>
      <c r="BG525" t="s">
        <v>74</v>
      </c>
      <c r="BH525" t="s">
        <v>74</v>
      </c>
      <c r="BI525">
        <v>11</v>
      </c>
      <c r="BJ525" t="s">
        <v>3105</v>
      </c>
      <c r="BK525" t="s">
        <v>97</v>
      </c>
      <c r="BL525" t="s">
        <v>3106</v>
      </c>
      <c r="BM525" t="s">
        <v>8897</v>
      </c>
      <c r="BN525" t="s">
        <v>74</v>
      </c>
      <c r="BO525" t="s">
        <v>313</v>
      </c>
      <c r="BP525" t="s">
        <v>74</v>
      </c>
      <c r="BQ525" t="s">
        <v>74</v>
      </c>
      <c r="BR525" t="s">
        <v>100</v>
      </c>
      <c r="BS525" t="s">
        <v>8898</v>
      </c>
      <c r="BT525" t="str">
        <f>HYPERLINK("https%3A%2F%2Fwww.webofscience.com%2Fwos%2Fwoscc%2Ffull-record%2FWOS:000251878000001","View Full Record in Web of Science")</f>
        <v>View Full Record in Web of Science</v>
      </c>
    </row>
    <row r="526" spans="1:72" x14ac:dyDescent="0.15">
      <c r="A526" t="s">
        <v>72</v>
      </c>
      <c r="B526" t="s">
        <v>8899</v>
      </c>
      <c r="C526" t="s">
        <v>74</v>
      </c>
      <c r="D526" t="s">
        <v>74</v>
      </c>
      <c r="E526" t="s">
        <v>74</v>
      </c>
      <c r="F526" t="s">
        <v>8900</v>
      </c>
      <c r="G526" t="s">
        <v>74</v>
      </c>
      <c r="H526" t="s">
        <v>74</v>
      </c>
      <c r="I526" t="s">
        <v>8901</v>
      </c>
      <c r="J526" t="s">
        <v>333</v>
      </c>
      <c r="K526" t="s">
        <v>74</v>
      </c>
      <c r="L526" t="s">
        <v>74</v>
      </c>
      <c r="M526" t="s">
        <v>78</v>
      </c>
      <c r="N526" t="s">
        <v>438</v>
      </c>
      <c r="O526" t="s">
        <v>74</v>
      </c>
      <c r="P526" t="s">
        <v>74</v>
      </c>
      <c r="Q526" t="s">
        <v>74</v>
      </c>
      <c r="R526" t="s">
        <v>74</v>
      </c>
      <c r="S526" t="s">
        <v>74</v>
      </c>
      <c r="T526" t="s">
        <v>74</v>
      </c>
      <c r="U526" t="s">
        <v>8902</v>
      </c>
      <c r="V526" t="s">
        <v>74</v>
      </c>
      <c r="W526" t="s">
        <v>8903</v>
      </c>
      <c r="X526" t="s">
        <v>8904</v>
      </c>
      <c r="Y526" t="s">
        <v>8905</v>
      </c>
      <c r="Z526" t="s">
        <v>8906</v>
      </c>
      <c r="AA526" t="s">
        <v>8907</v>
      </c>
      <c r="AB526" t="s">
        <v>8908</v>
      </c>
      <c r="AC526" t="s">
        <v>394</v>
      </c>
      <c r="AD526" t="s">
        <v>242</v>
      </c>
      <c r="AE526" t="s">
        <v>74</v>
      </c>
      <c r="AF526" t="s">
        <v>74</v>
      </c>
      <c r="AG526">
        <v>33</v>
      </c>
      <c r="AH526">
        <v>6</v>
      </c>
      <c r="AI526">
        <v>8</v>
      </c>
      <c r="AJ526">
        <v>0</v>
      </c>
      <c r="AK526">
        <v>1</v>
      </c>
      <c r="AL526" t="s">
        <v>193</v>
      </c>
      <c r="AM526" t="s">
        <v>194</v>
      </c>
      <c r="AN526" t="s">
        <v>195</v>
      </c>
      <c r="AO526" t="s">
        <v>344</v>
      </c>
      <c r="AP526" t="s">
        <v>345</v>
      </c>
      <c r="AQ526" t="s">
        <v>74</v>
      </c>
      <c r="AR526" t="s">
        <v>346</v>
      </c>
      <c r="AS526" t="s">
        <v>347</v>
      </c>
      <c r="AT526" t="s">
        <v>8894</v>
      </c>
      <c r="AU526">
        <v>2007</v>
      </c>
      <c r="AV526">
        <v>112</v>
      </c>
      <c r="AW526" t="s">
        <v>8909</v>
      </c>
      <c r="AX526" t="s">
        <v>74</v>
      </c>
      <c r="AY526" t="s">
        <v>74</v>
      </c>
      <c r="AZ526" t="s">
        <v>74</v>
      </c>
      <c r="BA526" t="s">
        <v>74</v>
      </c>
      <c r="BB526" t="s">
        <v>74</v>
      </c>
      <c r="BC526" t="s">
        <v>74</v>
      </c>
      <c r="BD526" t="s">
        <v>8910</v>
      </c>
      <c r="BE526" t="s">
        <v>8911</v>
      </c>
      <c r="BF526" t="str">
        <f>HYPERLINK("http://dx.doi.org/10.1029/2007JA012268","http://dx.doi.org/10.1029/2007JA012268")</f>
        <v>http://dx.doi.org/10.1029/2007JA012268</v>
      </c>
      <c r="BG526" t="s">
        <v>74</v>
      </c>
      <c r="BH526" t="s">
        <v>74</v>
      </c>
      <c r="BI526">
        <v>4</v>
      </c>
      <c r="BJ526" t="s">
        <v>351</v>
      </c>
      <c r="BK526" t="s">
        <v>97</v>
      </c>
      <c r="BL526" t="s">
        <v>351</v>
      </c>
      <c r="BM526" t="s">
        <v>8912</v>
      </c>
      <c r="BN526" t="s">
        <v>74</v>
      </c>
      <c r="BO526" t="s">
        <v>179</v>
      </c>
      <c r="BP526" t="s">
        <v>74</v>
      </c>
      <c r="BQ526" t="s">
        <v>74</v>
      </c>
      <c r="BR526" t="s">
        <v>100</v>
      </c>
      <c r="BS526" t="s">
        <v>8913</v>
      </c>
      <c r="BT526" t="str">
        <f>HYPERLINK("https%3A%2F%2Fwww.webofscience.com%2Fwos%2Fwoscc%2Ffull-record%2FWOS:000251882400003","View Full Record in Web of Science")</f>
        <v>View Full Record in Web of Science</v>
      </c>
    </row>
    <row r="527" spans="1:72" x14ac:dyDescent="0.15">
      <c r="A527" t="s">
        <v>72</v>
      </c>
      <c r="B527" t="s">
        <v>8914</v>
      </c>
      <c r="C527" t="s">
        <v>74</v>
      </c>
      <c r="D527" t="s">
        <v>74</v>
      </c>
      <c r="E527" t="s">
        <v>74</v>
      </c>
      <c r="F527" t="s">
        <v>8915</v>
      </c>
      <c r="G527" t="s">
        <v>74</v>
      </c>
      <c r="H527" t="s">
        <v>74</v>
      </c>
      <c r="I527" t="s">
        <v>8916</v>
      </c>
      <c r="J527" t="s">
        <v>8917</v>
      </c>
      <c r="K527" t="s">
        <v>74</v>
      </c>
      <c r="L527" t="s">
        <v>74</v>
      </c>
      <c r="M527" t="s">
        <v>78</v>
      </c>
      <c r="N527" t="s">
        <v>79</v>
      </c>
      <c r="O527" t="s">
        <v>74</v>
      </c>
      <c r="P527" t="s">
        <v>74</v>
      </c>
      <c r="Q527" t="s">
        <v>74</v>
      </c>
      <c r="R527" t="s">
        <v>74</v>
      </c>
      <c r="S527" t="s">
        <v>74</v>
      </c>
      <c r="T527" t="s">
        <v>8918</v>
      </c>
      <c r="U527" t="s">
        <v>8919</v>
      </c>
      <c r="V527" t="s">
        <v>8920</v>
      </c>
      <c r="W527" t="s">
        <v>8921</v>
      </c>
      <c r="X527" t="s">
        <v>8922</v>
      </c>
      <c r="Y527" t="s">
        <v>8923</v>
      </c>
      <c r="Z527" t="s">
        <v>8924</v>
      </c>
      <c r="AA527" t="s">
        <v>8925</v>
      </c>
      <c r="AB527" t="s">
        <v>8926</v>
      </c>
      <c r="AC527" t="s">
        <v>8927</v>
      </c>
      <c r="AD527" t="s">
        <v>242</v>
      </c>
      <c r="AE527" t="s">
        <v>74</v>
      </c>
      <c r="AF527" t="s">
        <v>74</v>
      </c>
      <c r="AG527">
        <v>59</v>
      </c>
      <c r="AH527">
        <v>146</v>
      </c>
      <c r="AI527">
        <v>161</v>
      </c>
      <c r="AJ527">
        <v>2</v>
      </c>
      <c r="AK527">
        <v>88</v>
      </c>
      <c r="AL527" t="s">
        <v>8681</v>
      </c>
      <c r="AM527" t="s">
        <v>118</v>
      </c>
      <c r="AN527" t="s">
        <v>8682</v>
      </c>
      <c r="AO527" t="s">
        <v>8928</v>
      </c>
      <c r="AP527" t="s">
        <v>8929</v>
      </c>
      <c r="AQ527" t="s">
        <v>74</v>
      </c>
      <c r="AR527" t="s">
        <v>8930</v>
      </c>
      <c r="AS527" t="s">
        <v>8931</v>
      </c>
      <c r="AT527" t="s">
        <v>8894</v>
      </c>
      <c r="AU527">
        <v>2007</v>
      </c>
      <c r="AV527">
        <v>274</v>
      </c>
      <c r="AW527">
        <v>1629</v>
      </c>
      <c r="AX527" t="s">
        <v>74</v>
      </c>
      <c r="AY527" t="s">
        <v>74</v>
      </c>
      <c r="AZ527" t="s">
        <v>74</v>
      </c>
      <c r="BA527" t="s">
        <v>74</v>
      </c>
      <c r="BB527">
        <v>3057</v>
      </c>
      <c r="BC527">
        <v>3067</v>
      </c>
      <c r="BD527" t="s">
        <v>74</v>
      </c>
      <c r="BE527" t="s">
        <v>8932</v>
      </c>
      <c r="BF527" t="str">
        <f>HYPERLINK("http://dx.doi.org/10.1098/rspb.2007.1180","http://dx.doi.org/10.1098/rspb.2007.1180")</f>
        <v>http://dx.doi.org/10.1098/rspb.2007.1180</v>
      </c>
      <c r="BG527" t="s">
        <v>74</v>
      </c>
      <c r="BH527" t="s">
        <v>74</v>
      </c>
      <c r="BI527">
        <v>11</v>
      </c>
      <c r="BJ527" t="s">
        <v>8933</v>
      </c>
      <c r="BK527" t="s">
        <v>97</v>
      </c>
      <c r="BL527" t="s">
        <v>8934</v>
      </c>
      <c r="BM527" t="s">
        <v>8935</v>
      </c>
      <c r="BN527">
        <v>17939986</v>
      </c>
      <c r="BO527" t="s">
        <v>8936</v>
      </c>
      <c r="BP527" t="s">
        <v>74</v>
      </c>
      <c r="BQ527" t="s">
        <v>74</v>
      </c>
      <c r="BR527" t="s">
        <v>100</v>
      </c>
      <c r="BS527" t="s">
        <v>8937</v>
      </c>
      <c r="BT527" t="str">
        <f>HYPERLINK("https%3A%2F%2Fwww.webofscience.com%2Fwos%2Fwoscc%2Ffull-record%2FWOS:000251369100002","View Full Record in Web of Science")</f>
        <v>View Full Record in Web of Science</v>
      </c>
    </row>
    <row r="528" spans="1:72" x14ac:dyDescent="0.15">
      <c r="A528" t="s">
        <v>72</v>
      </c>
      <c r="B528" t="s">
        <v>8938</v>
      </c>
      <c r="C528" t="s">
        <v>74</v>
      </c>
      <c r="D528" t="s">
        <v>74</v>
      </c>
      <c r="E528" t="s">
        <v>74</v>
      </c>
      <c r="F528" t="s">
        <v>8939</v>
      </c>
      <c r="G528" t="s">
        <v>74</v>
      </c>
      <c r="H528" t="s">
        <v>74</v>
      </c>
      <c r="I528" t="s">
        <v>8940</v>
      </c>
      <c r="J528" t="s">
        <v>211</v>
      </c>
      <c r="K528" t="s">
        <v>74</v>
      </c>
      <c r="L528" t="s">
        <v>74</v>
      </c>
      <c r="M528" t="s">
        <v>78</v>
      </c>
      <c r="N528" t="s">
        <v>79</v>
      </c>
      <c r="O528" t="s">
        <v>74</v>
      </c>
      <c r="P528" t="s">
        <v>74</v>
      </c>
      <c r="Q528" t="s">
        <v>74</v>
      </c>
      <c r="R528" t="s">
        <v>74</v>
      </c>
      <c r="S528" t="s">
        <v>74</v>
      </c>
      <c r="T528" t="s">
        <v>74</v>
      </c>
      <c r="U528" t="s">
        <v>8941</v>
      </c>
      <c r="V528" t="s">
        <v>8942</v>
      </c>
      <c r="W528" t="s">
        <v>8943</v>
      </c>
      <c r="X528" t="s">
        <v>8944</v>
      </c>
      <c r="Y528" t="s">
        <v>7344</v>
      </c>
      <c r="Z528" t="s">
        <v>8945</v>
      </c>
      <c r="AA528" t="s">
        <v>7346</v>
      </c>
      <c r="AB528" t="s">
        <v>8946</v>
      </c>
      <c r="AC528" t="s">
        <v>4792</v>
      </c>
      <c r="AD528" t="s">
        <v>444</v>
      </c>
      <c r="AE528" t="s">
        <v>74</v>
      </c>
      <c r="AF528" t="s">
        <v>74</v>
      </c>
      <c r="AG528">
        <v>54</v>
      </c>
      <c r="AH528">
        <v>39</v>
      </c>
      <c r="AI528">
        <v>46</v>
      </c>
      <c r="AJ528">
        <v>0</v>
      </c>
      <c r="AK528">
        <v>10</v>
      </c>
      <c r="AL528" t="s">
        <v>220</v>
      </c>
      <c r="AM528" t="s">
        <v>118</v>
      </c>
      <c r="AN528" t="s">
        <v>221</v>
      </c>
      <c r="AO528" t="s">
        <v>222</v>
      </c>
      <c r="AP528" t="s">
        <v>74</v>
      </c>
      <c r="AQ528" t="s">
        <v>74</v>
      </c>
      <c r="AR528" t="s">
        <v>211</v>
      </c>
      <c r="AS528" t="s">
        <v>223</v>
      </c>
      <c r="AT528" t="s">
        <v>8947</v>
      </c>
      <c r="AU528">
        <v>2007</v>
      </c>
      <c r="AV528">
        <v>8</v>
      </c>
      <c r="AW528" t="s">
        <v>74</v>
      </c>
      <c r="AX528" t="s">
        <v>74</v>
      </c>
      <c r="AY528" t="s">
        <v>74</v>
      </c>
      <c r="AZ528" t="s">
        <v>74</v>
      </c>
      <c r="BA528" t="s">
        <v>74</v>
      </c>
      <c r="BB528" t="s">
        <v>74</v>
      </c>
      <c r="BC528" t="s">
        <v>74</v>
      </c>
      <c r="BD528">
        <v>475</v>
      </c>
      <c r="BE528" t="s">
        <v>8948</v>
      </c>
      <c r="BF528" t="str">
        <f>HYPERLINK("http://dx.doi.org/10.1186/1471-2164-8-475","http://dx.doi.org/10.1186/1471-2164-8-475")</f>
        <v>http://dx.doi.org/10.1186/1471-2164-8-475</v>
      </c>
      <c r="BG528" t="s">
        <v>74</v>
      </c>
      <c r="BH528" t="s">
        <v>74</v>
      </c>
      <c r="BI528">
        <v>12</v>
      </c>
      <c r="BJ528" t="s">
        <v>226</v>
      </c>
      <c r="BK528" t="s">
        <v>97</v>
      </c>
      <c r="BL528" t="s">
        <v>226</v>
      </c>
      <c r="BM528" t="s">
        <v>8949</v>
      </c>
      <c r="BN528">
        <v>18154659</v>
      </c>
      <c r="BO528" t="s">
        <v>8950</v>
      </c>
      <c r="BP528" t="s">
        <v>74</v>
      </c>
      <c r="BQ528" t="s">
        <v>74</v>
      </c>
      <c r="BR528" t="s">
        <v>100</v>
      </c>
      <c r="BS528" t="s">
        <v>8951</v>
      </c>
      <c r="BT528" t="str">
        <f>HYPERLINK("https%3A%2F%2Fwww.webofscience.com%2Fwos%2Fwoscc%2Ffull-record%2FWOS:000253467400001","View Full Record in Web of Science")</f>
        <v>View Full Record in Web of Science</v>
      </c>
    </row>
    <row r="529" spans="1:72" x14ac:dyDescent="0.15">
      <c r="A529" t="s">
        <v>72</v>
      </c>
      <c r="B529" t="s">
        <v>8952</v>
      </c>
      <c r="C529" t="s">
        <v>74</v>
      </c>
      <c r="D529" t="s">
        <v>74</v>
      </c>
      <c r="E529" t="s">
        <v>74</v>
      </c>
      <c r="F529" t="s">
        <v>8953</v>
      </c>
      <c r="G529" t="s">
        <v>74</v>
      </c>
      <c r="H529" t="s">
        <v>74</v>
      </c>
      <c r="I529" t="s">
        <v>8954</v>
      </c>
      <c r="J529" t="s">
        <v>773</v>
      </c>
      <c r="K529" t="s">
        <v>74</v>
      </c>
      <c r="L529" t="s">
        <v>74</v>
      </c>
      <c r="M529" t="s">
        <v>78</v>
      </c>
      <c r="N529" t="s">
        <v>79</v>
      </c>
      <c r="O529" t="s">
        <v>74</v>
      </c>
      <c r="P529" t="s">
        <v>74</v>
      </c>
      <c r="Q529" t="s">
        <v>74</v>
      </c>
      <c r="R529" t="s">
        <v>74</v>
      </c>
      <c r="S529" t="s">
        <v>74</v>
      </c>
      <c r="T529" t="s">
        <v>8955</v>
      </c>
      <c r="U529" t="s">
        <v>8956</v>
      </c>
      <c r="V529" t="s">
        <v>8957</v>
      </c>
      <c r="W529" t="s">
        <v>8958</v>
      </c>
      <c r="X529" t="s">
        <v>8959</v>
      </c>
      <c r="Y529" t="s">
        <v>8960</v>
      </c>
      <c r="Z529" t="s">
        <v>8961</v>
      </c>
      <c r="AA529" t="s">
        <v>74</v>
      </c>
      <c r="AB529" t="s">
        <v>74</v>
      </c>
      <c r="AC529" t="s">
        <v>74</v>
      </c>
      <c r="AD529" t="s">
        <v>74</v>
      </c>
      <c r="AE529" t="s">
        <v>74</v>
      </c>
      <c r="AF529" t="s">
        <v>74</v>
      </c>
      <c r="AG529">
        <v>59</v>
      </c>
      <c r="AH529">
        <v>23</v>
      </c>
      <c r="AI529">
        <v>33</v>
      </c>
      <c r="AJ529">
        <v>0</v>
      </c>
      <c r="AK529">
        <v>26</v>
      </c>
      <c r="AL529" t="s">
        <v>506</v>
      </c>
      <c r="AM529" t="s">
        <v>266</v>
      </c>
      <c r="AN529" t="s">
        <v>507</v>
      </c>
      <c r="AO529" t="s">
        <v>783</v>
      </c>
      <c r="AP529" t="s">
        <v>74</v>
      </c>
      <c r="AQ529" t="s">
        <v>74</v>
      </c>
      <c r="AR529" t="s">
        <v>785</v>
      </c>
      <c r="AS529" t="s">
        <v>786</v>
      </c>
      <c r="AT529" t="s">
        <v>8947</v>
      </c>
      <c r="AU529">
        <v>2007</v>
      </c>
      <c r="AV529">
        <v>353</v>
      </c>
      <c r="AW529">
        <v>1</v>
      </c>
      <c r="AX529" t="s">
        <v>74</v>
      </c>
      <c r="AY529" t="s">
        <v>74</v>
      </c>
      <c r="AZ529" t="s">
        <v>74</v>
      </c>
      <c r="BA529" t="s">
        <v>74</v>
      </c>
      <c r="BB529">
        <v>89</v>
      </c>
      <c r="BC529">
        <v>106</v>
      </c>
      <c r="BD529" t="s">
        <v>74</v>
      </c>
      <c r="BE529" t="s">
        <v>8962</v>
      </c>
      <c r="BF529" t="str">
        <f>HYPERLINK("http://dx.doi.org/10.1016/j.jembe.2007.09.005","http://dx.doi.org/10.1016/j.jembe.2007.09.005")</f>
        <v>http://dx.doi.org/10.1016/j.jembe.2007.09.005</v>
      </c>
      <c r="BG529" t="s">
        <v>74</v>
      </c>
      <c r="BH529" t="s">
        <v>74</v>
      </c>
      <c r="BI529">
        <v>18</v>
      </c>
      <c r="BJ529" t="s">
        <v>789</v>
      </c>
      <c r="BK529" t="s">
        <v>97</v>
      </c>
      <c r="BL529" t="s">
        <v>790</v>
      </c>
      <c r="BM529" t="s">
        <v>8963</v>
      </c>
      <c r="BN529" t="s">
        <v>74</v>
      </c>
      <c r="BO529" t="s">
        <v>74</v>
      </c>
      <c r="BP529" t="s">
        <v>74</v>
      </c>
      <c r="BQ529" t="s">
        <v>74</v>
      </c>
      <c r="BR529" t="s">
        <v>100</v>
      </c>
      <c r="BS529" t="s">
        <v>8964</v>
      </c>
      <c r="BT529" t="str">
        <f>HYPERLINK("https%3A%2F%2Fwww.webofscience.com%2Fwos%2Fwoscc%2Ffull-record%2FWOS:000252014900009","View Full Record in Web of Science")</f>
        <v>View Full Record in Web of Science</v>
      </c>
    </row>
    <row r="530" spans="1:72" x14ac:dyDescent="0.15">
      <c r="A530" t="s">
        <v>72</v>
      </c>
      <c r="B530" t="s">
        <v>8965</v>
      </c>
      <c r="C530" t="s">
        <v>74</v>
      </c>
      <c r="D530" t="s">
        <v>74</v>
      </c>
      <c r="E530" t="s">
        <v>74</v>
      </c>
      <c r="F530" t="s">
        <v>8966</v>
      </c>
      <c r="G530" t="s">
        <v>74</v>
      </c>
      <c r="H530" t="s">
        <v>74</v>
      </c>
      <c r="I530" t="s">
        <v>8967</v>
      </c>
      <c r="J530" t="s">
        <v>184</v>
      </c>
      <c r="K530" t="s">
        <v>74</v>
      </c>
      <c r="L530" t="s">
        <v>74</v>
      </c>
      <c r="M530" t="s">
        <v>78</v>
      </c>
      <c r="N530" t="s">
        <v>79</v>
      </c>
      <c r="O530" t="s">
        <v>74</v>
      </c>
      <c r="P530" t="s">
        <v>74</v>
      </c>
      <c r="Q530" t="s">
        <v>74</v>
      </c>
      <c r="R530" t="s">
        <v>74</v>
      </c>
      <c r="S530" t="s">
        <v>74</v>
      </c>
      <c r="T530" t="s">
        <v>74</v>
      </c>
      <c r="U530" t="s">
        <v>8968</v>
      </c>
      <c r="V530" t="s">
        <v>8969</v>
      </c>
      <c r="W530" t="s">
        <v>8970</v>
      </c>
      <c r="X530" t="s">
        <v>8971</v>
      </c>
      <c r="Y530" t="s">
        <v>8972</v>
      </c>
      <c r="Z530" t="s">
        <v>8973</v>
      </c>
      <c r="AA530" t="s">
        <v>8974</v>
      </c>
      <c r="AB530" t="s">
        <v>8975</v>
      </c>
      <c r="AC530" t="s">
        <v>74</v>
      </c>
      <c r="AD530" t="s">
        <v>74</v>
      </c>
      <c r="AE530" t="s">
        <v>74</v>
      </c>
      <c r="AF530" t="s">
        <v>74</v>
      </c>
      <c r="AG530">
        <v>56</v>
      </c>
      <c r="AH530">
        <v>24</v>
      </c>
      <c r="AI530">
        <v>24</v>
      </c>
      <c r="AJ530">
        <v>0</v>
      </c>
      <c r="AK530">
        <v>8</v>
      </c>
      <c r="AL530" t="s">
        <v>193</v>
      </c>
      <c r="AM530" t="s">
        <v>194</v>
      </c>
      <c r="AN530" t="s">
        <v>195</v>
      </c>
      <c r="AO530" t="s">
        <v>196</v>
      </c>
      <c r="AP530" t="s">
        <v>197</v>
      </c>
      <c r="AQ530" t="s">
        <v>74</v>
      </c>
      <c r="AR530" t="s">
        <v>198</v>
      </c>
      <c r="AS530" t="s">
        <v>199</v>
      </c>
      <c r="AT530" t="s">
        <v>8947</v>
      </c>
      <c r="AU530">
        <v>2007</v>
      </c>
      <c r="AV530">
        <v>112</v>
      </c>
      <c r="AW530" t="s">
        <v>8843</v>
      </c>
      <c r="AX530" t="s">
        <v>74</v>
      </c>
      <c r="AY530" t="s">
        <v>74</v>
      </c>
      <c r="AZ530" t="s">
        <v>74</v>
      </c>
      <c r="BA530" t="s">
        <v>74</v>
      </c>
      <c r="BB530" t="s">
        <v>74</v>
      </c>
      <c r="BC530" t="s">
        <v>74</v>
      </c>
      <c r="BD530" t="s">
        <v>8976</v>
      </c>
      <c r="BE530" t="s">
        <v>8977</v>
      </c>
      <c r="BF530" t="str">
        <f>HYPERLINK("http://dx.doi.org/10.1029/2006JD008334","http://dx.doi.org/10.1029/2006JD008334")</f>
        <v>http://dx.doi.org/10.1029/2006JD008334</v>
      </c>
      <c r="BG530" t="s">
        <v>74</v>
      </c>
      <c r="BH530" t="s">
        <v>74</v>
      </c>
      <c r="BI530">
        <v>24</v>
      </c>
      <c r="BJ530" t="s">
        <v>204</v>
      </c>
      <c r="BK530" t="s">
        <v>97</v>
      </c>
      <c r="BL530" t="s">
        <v>204</v>
      </c>
      <c r="BM530" t="s">
        <v>8978</v>
      </c>
      <c r="BN530" t="s">
        <v>74</v>
      </c>
      <c r="BO530" t="s">
        <v>179</v>
      </c>
      <c r="BP530" t="s">
        <v>74</v>
      </c>
      <c r="BQ530" t="s">
        <v>74</v>
      </c>
      <c r="BR530" t="s">
        <v>100</v>
      </c>
      <c r="BS530" t="s">
        <v>8979</v>
      </c>
      <c r="BT530" t="str">
        <f>HYPERLINK("https%3A%2F%2Fwww.webofscience.com%2Fwos%2Fwoscc%2Ffull-record%2FWOS:000251878700001","View Full Record in Web of Science")</f>
        <v>View Full Record in Web of Science</v>
      </c>
    </row>
    <row r="531" spans="1:72" x14ac:dyDescent="0.15">
      <c r="A531" t="s">
        <v>72</v>
      </c>
      <c r="B531" t="s">
        <v>8980</v>
      </c>
      <c r="C531" t="s">
        <v>74</v>
      </c>
      <c r="D531" t="s">
        <v>74</v>
      </c>
      <c r="E531" t="s">
        <v>74</v>
      </c>
      <c r="F531" t="s">
        <v>8981</v>
      </c>
      <c r="G531" t="s">
        <v>74</v>
      </c>
      <c r="H531" t="s">
        <v>74</v>
      </c>
      <c r="I531" t="s">
        <v>8982</v>
      </c>
      <c r="J531" t="s">
        <v>691</v>
      </c>
      <c r="K531" t="s">
        <v>74</v>
      </c>
      <c r="L531" t="s">
        <v>74</v>
      </c>
      <c r="M531" t="s">
        <v>78</v>
      </c>
      <c r="N531" t="s">
        <v>438</v>
      </c>
      <c r="O531" t="s">
        <v>74</v>
      </c>
      <c r="P531" t="s">
        <v>74</v>
      </c>
      <c r="Q531" t="s">
        <v>74</v>
      </c>
      <c r="R531" t="s">
        <v>74</v>
      </c>
      <c r="S531" t="s">
        <v>74</v>
      </c>
      <c r="T531" t="s">
        <v>74</v>
      </c>
      <c r="U531" t="s">
        <v>8983</v>
      </c>
      <c r="V531" t="s">
        <v>74</v>
      </c>
      <c r="W531" t="s">
        <v>8984</v>
      </c>
      <c r="X531" t="s">
        <v>8985</v>
      </c>
      <c r="Y531" t="s">
        <v>8986</v>
      </c>
      <c r="Z531" t="s">
        <v>8987</v>
      </c>
      <c r="AA531" t="s">
        <v>8988</v>
      </c>
      <c r="AB531" t="s">
        <v>8989</v>
      </c>
      <c r="AC531" t="s">
        <v>74</v>
      </c>
      <c r="AD531" t="s">
        <v>74</v>
      </c>
      <c r="AE531" t="s">
        <v>74</v>
      </c>
      <c r="AF531" t="s">
        <v>74</v>
      </c>
      <c r="AG531">
        <v>13</v>
      </c>
      <c r="AH531">
        <v>23</v>
      </c>
      <c r="AI531">
        <v>24</v>
      </c>
      <c r="AJ531">
        <v>0</v>
      </c>
      <c r="AK531">
        <v>14</v>
      </c>
      <c r="AL531" t="s">
        <v>694</v>
      </c>
      <c r="AM531" t="s">
        <v>194</v>
      </c>
      <c r="AN531" t="s">
        <v>695</v>
      </c>
      <c r="AO531" t="s">
        <v>696</v>
      </c>
      <c r="AP531" t="s">
        <v>712</v>
      </c>
      <c r="AQ531" t="s">
        <v>74</v>
      </c>
      <c r="AR531" t="s">
        <v>691</v>
      </c>
      <c r="AS531" t="s">
        <v>697</v>
      </c>
      <c r="AT531" t="s">
        <v>8947</v>
      </c>
      <c r="AU531">
        <v>2007</v>
      </c>
      <c r="AV531">
        <v>318</v>
      </c>
      <c r="AW531">
        <v>5858</v>
      </c>
      <c r="AX531" t="s">
        <v>74</v>
      </c>
      <c r="AY531" t="s">
        <v>74</v>
      </c>
      <c r="AZ531" t="s">
        <v>74</v>
      </c>
      <c r="BA531" t="s">
        <v>74</v>
      </c>
      <c r="BB531">
        <v>1878</v>
      </c>
      <c r="BC531">
        <v>1879</v>
      </c>
      <c r="BD531" t="s">
        <v>74</v>
      </c>
      <c r="BE531" t="s">
        <v>8990</v>
      </c>
      <c r="BF531" t="str">
        <f>HYPERLINK("http://dx.doi.org/10.1126/science.1151597","http://dx.doi.org/10.1126/science.1151597")</f>
        <v>http://dx.doi.org/10.1126/science.1151597</v>
      </c>
      <c r="BG531" t="s">
        <v>74</v>
      </c>
      <c r="BH531" t="s">
        <v>74</v>
      </c>
      <c r="BI531">
        <v>2</v>
      </c>
      <c r="BJ531" t="s">
        <v>684</v>
      </c>
      <c r="BK531" t="s">
        <v>669</v>
      </c>
      <c r="BL531" t="s">
        <v>685</v>
      </c>
      <c r="BM531" t="s">
        <v>8991</v>
      </c>
      <c r="BN531">
        <v>18096795</v>
      </c>
      <c r="BO531" t="s">
        <v>74</v>
      </c>
      <c r="BP531" t="s">
        <v>74</v>
      </c>
      <c r="BQ531" t="s">
        <v>74</v>
      </c>
      <c r="BR531" t="s">
        <v>100</v>
      </c>
      <c r="BS531" t="s">
        <v>8992</v>
      </c>
      <c r="BT531" t="str">
        <f>HYPERLINK("https%3A%2F%2Fwww.webofscience.com%2Fwos%2Fwoscc%2Ffull-record%2FWOS:000251786600044","View Full Record in Web of Science")</f>
        <v>View Full Record in Web of Science</v>
      </c>
    </row>
    <row r="532" spans="1:72" x14ac:dyDescent="0.15">
      <c r="A532" t="s">
        <v>72</v>
      </c>
      <c r="B532" t="s">
        <v>8993</v>
      </c>
      <c r="C532" t="s">
        <v>74</v>
      </c>
      <c r="D532" t="s">
        <v>74</v>
      </c>
      <c r="E532" t="s">
        <v>74</v>
      </c>
      <c r="F532" t="s">
        <v>8994</v>
      </c>
      <c r="G532" t="s">
        <v>74</v>
      </c>
      <c r="H532" t="s">
        <v>74</v>
      </c>
      <c r="I532" t="s">
        <v>8995</v>
      </c>
      <c r="J532" t="s">
        <v>8996</v>
      </c>
      <c r="K532" t="s">
        <v>74</v>
      </c>
      <c r="L532" t="s">
        <v>74</v>
      </c>
      <c r="M532" t="s">
        <v>78</v>
      </c>
      <c r="N532" t="s">
        <v>79</v>
      </c>
      <c r="O532" t="s">
        <v>74</v>
      </c>
      <c r="P532" t="s">
        <v>74</v>
      </c>
      <c r="Q532" t="s">
        <v>74</v>
      </c>
      <c r="R532" t="s">
        <v>74</v>
      </c>
      <c r="S532" t="s">
        <v>74</v>
      </c>
      <c r="T532" t="s">
        <v>8997</v>
      </c>
      <c r="U532" t="s">
        <v>8998</v>
      </c>
      <c r="V532" t="s">
        <v>8999</v>
      </c>
      <c r="W532" t="s">
        <v>9000</v>
      </c>
      <c r="X532" t="s">
        <v>9001</v>
      </c>
      <c r="Y532" t="s">
        <v>9002</v>
      </c>
      <c r="Z532" t="s">
        <v>9003</v>
      </c>
      <c r="AA532" t="s">
        <v>9004</v>
      </c>
      <c r="AB532" t="s">
        <v>9005</v>
      </c>
      <c r="AC532" t="s">
        <v>74</v>
      </c>
      <c r="AD532" t="s">
        <v>74</v>
      </c>
      <c r="AE532" t="s">
        <v>74</v>
      </c>
      <c r="AF532" t="s">
        <v>74</v>
      </c>
      <c r="AG532">
        <v>69</v>
      </c>
      <c r="AH532">
        <v>39</v>
      </c>
      <c r="AI532">
        <v>39</v>
      </c>
      <c r="AJ532">
        <v>0</v>
      </c>
      <c r="AK532">
        <v>18</v>
      </c>
      <c r="AL532" t="s">
        <v>193</v>
      </c>
      <c r="AM532" t="s">
        <v>194</v>
      </c>
      <c r="AN532" t="s">
        <v>195</v>
      </c>
      <c r="AO532" t="s">
        <v>74</v>
      </c>
      <c r="AP532" t="s">
        <v>9006</v>
      </c>
      <c r="AQ532" t="s">
        <v>74</v>
      </c>
      <c r="AR532" t="s">
        <v>9007</v>
      </c>
      <c r="AS532" t="s">
        <v>9008</v>
      </c>
      <c r="AT532" t="s">
        <v>9009</v>
      </c>
      <c r="AU532">
        <v>2007</v>
      </c>
      <c r="AV532">
        <v>8</v>
      </c>
      <c r="AW532" t="s">
        <v>74</v>
      </c>
      <c r="AX532" t="s">
        <v>74</v>
      </c>
      <c r="AY532" t="s">
        <v>74</v>
      </c>
      <c r="AZ532" t="s">
        <v>74</v>
      </c>
      <c r="BA532" t="s">
        <v>74</v>
      </c>
      <c r="BB532" t="s">
        <v>74</v>
      </c>
      <c r="BC532" t="s">
        <v>74</v>
      </c>
      <c r="BD532" t="s">
        <v>9010</v>
      </c>
      <c r="BE532" t="s">
        <v>9011</v>
      </c>
      <c r="BF532" t="str">
        <f>HYPERLINK("http://dx.doi.org/10.1029/2007GC001618","http://dx.doi.org/10.1029/2007GC001618")</f>
        <v>http://dx.doi.org/10.1029/2007GC001618</v>
      </c>
      <c r="BG532" t="s">
        <v>74</v>
      </c>
      <c r="BH532" t="s">
        <v>74</v>
      </c>
      <c r="BI532">
        <v>23</v>
      </c>
      <c r="BJ532" t="s">
        <v>553</v>
      </c>
      <c r="BK532" t="s">
        <v>97</v>
      </c>
      <c r="BL532" t="s">
        <v>553</v>
      </c>
      <c r="BM532" t="s">
        <v>9012</v>
      </c>
      <c r="BN532" t="s">
        <v>74</v>
      </c>
      <c r="BO532" t="s">
        <v>179</v>
      </c>
      <c r="BP532" t="s">
        <v>74</v>
      </c>
      <c r="BQ532" t="s">
        <v>74</v>
      </c>
      <c r="BR532" t="s">
        <v>100</v>
      </c>
      <c r="BS532" t="s">
        <v>9013</v>
      </c>
      <c r="BT532" t="str">
        <f>HYPERLINK("https%3A%2F%2Fwww.webofscience.com%2Fwos%2Fwoscc%2Ffull-record%2FWOS:000251876500002","View Full Record in Web of Science")</f>
        <v>View Full Record in Web of Science</v>
      </c>
    </row>
    <row r="533" spans="1:72" x14ac:dyDescent="0.15">
      <c r="A533" t="s">
        <v>72</v>
      </c>
      <c r="B533" t="s">
        <v>9014</v>
      </c>
      <c r="C533" t="s">
        <v>74</v>
      </c>
      <c r="D533" t="s">
        <v>74</v>
      </c>
      <c r="E533" t="s">
        <v>74</v>
      </c>
      <c r="F533" t="s">
        <v>9015</v>
      </c>
      <c r="G533" t="s">
        <v>74</v>
      </c>
      <c r="H533" t="s">
        <v>74</v>
      </c>
      <c r="I533" t="s">
        <v>9016</v>
      </c>
      <c r="J533" t="s">
        <v>9017</v>
      </c>
      <c r="K533" t="s">
        <v>74</v>
      </c>
      <c r="L533" t="s">
        <v>74</v>
      </c>
      <c r="M533" t="s">
        <v>78</v>
      </c>
      <c r="N533" t="s">
        <v>106</v>
      </c>
      <c r="O533" t="s">
        <v>74</v>
      </c>
      <c r="P533" t="s">
        <v>74</v>
      </c>
      <c r="Q533" t="s">
        <v>74</v>
      </c>
      <c r="R533" t="s">
        <v>74</v>
      </c>
      <c r="S533" t="s">
        <v>74</v>
      </c>
      <c r="T533" t="s">
        <v>9018</v>
      </c>
      <c r="U533" t="s">
        <v>9019</v>
      </c>
      <c r="V533" t="s">
        <v>9020</v>
      </c>
      <c r="W533" t="s">
        <v>9021</v>
      </c>
      <c r="X533" t="s">
        <v>9022</v>
      </c>
      <c r="Y533" t="s">
        <v>9023</v>
      </c>
      <c r="Z533" t="s">
        <v>9024</v>
      </c>
      <c r="AA533" t="s">
        <v>74</v>
      </c>
      <c r="AB533" t="s">
        <v>9025</v>
      </c>
      <c r="AC533" t="s">
        <v>74</v>
      </c>
      <c r="AD533" t="s">
        <v>74</v>
      </c>
      <c r="AE533" t="s">
        <v>74</v>
      </c>
      <c r="AF533" t="s">
        <v>74</v>
      </c>
      <c r="AG533">
        <v>176</v>
      </c>
      <c r="AH533">
        <v>62</v>
      </c>
      <c r="AI533">
        <v>65</v>
      </c>
      <c r="AJ533">
        <v>1</v>
      </c>
      <c r="AK533">
        <v>33</v>
      </c>
      <c r="AL533" t="s">
        <v>265</v>
      </c>
      <c r="AM533" t="s">
        <v>266</v>
      </c>
      <c r="AN533" t="s">
        <v>267</v>
      </c>
      <c r="AO533" t="s">
        <v>9026</v>
      </c>
      <c r="AP533" t="s">
        <v>9027</v>
      </c>
      <c r="AQ533" t="s">
        <v>74</v>
      </c>
      <c r="AR533" t="s">
        <v>9017</v>
      </c>
      <c r="AS533" t="s">
        <v>9028</v>
      </c>
      <c r="AT533" t="s">
        <v>9009</v>
      </c>
      <c r="AU533">
        <v>2007</v>
      </c>
      <c r="AV533">
        <v>445</v>
      </c>
      <c r="AW533" t="s">
        <v>489</v>
      </c>
      <c r="AX533" t="s">
        <v>74</v>
      </c>
      <c r="AY533" t="s">
        <v>74</v>
      </c>
      <c r="AZ533" t="s">
        <v>74</v>
      </c>
      <c r="BA533" t="s">
        <v>74</v>
      </c>
      <c r="BB533">
        <v>245</v>
      </c>
      <c r="BC533">
        <v>272</v>
      </c>
      <c r="BD533" t="s">
        <v>74</v>
      </c>
      <c r="BE533" t="s">
        <v>9029</v>
      </c>
      <c r="BF533" t="str">
        <f>HYPERLINK("http://dx.doi.org/10.1016/j.tecto.2007.08.011","http://dx.doi.org/10.1016/j.tecto.2007.08.011")</f>
        <v>http://dx.doi.org/10.1016/j.tecto.2007.08.011</v>
      </c>
      <c r="BG533" t="s">
        <v>74</v>
      </c>
      <c r="BH533" t="s">
        <v>74</v>
      </c>
      <c r="BI533">
        <v>28</v>
      </c>
      <c r="BJ533" t="s">
        <v>553</v>
      </c>
      <c r="BK533" t="s">
        <v>97</v>
      </c>
      <c r="BL533" t="s">
        <v>553</v>
      </c>
      <c r="BM533" t="s">
        <v>9030</v>
      </c>
      <c r="BN533" t="s">
        <v>74</v>
      </c>
      <c r="BO533" t="s">
        <v>74</v>
      </c>
      <c r="BP533" t="s">
        <v>74</v>
      </c>
      <c r="BQ533" t="s">
        <v>74</v>
      </c>
      <c r="BR533" t="s">
        <v>100</v>
      </c>
      <c r="BS533" t="s">
        <v>9031</v>
      </c>
      <c r="BT533" t="str">
        <f>HYPERLINK("https%3A%2F%2Fwww.webofscience.com%2Fwos%2Fwoscc%2Ffull-record%2FWOS:000252036800007","View Full Record in Web of Science")</f>
        <v>View Full Record in Web of Science</v>
      </c>
    </row>
    <row r="534" spans="1:72" x14ac:dyDescent="0.15">
      <c r="A534" t="s">
        <v>72</v>
      </c>
      <c r="B534" t="s">
        <v>9032</v>
      </c>
      <c r="C534" t="s">
        <v>74</v>
      </c>
      <c r="D534" t="s">
        <v>74</v>
      </c>
      <c r="E534" t="s">
        <v>74</v>
      </c>
      <c r="F534" t="s">
        <v>9033</v>
      </c>
      <c r="G534" t="s">
        <v>74</v>
      </c>
      <c r="H534" t="s">
        <v>74</v>
      </c>
      <c r="I534" t="s">
        <v>9034</v>
      </c>
      <c r="J534" t="s">
        <v>615</v>
      </c>
      <c r="K534" t="s">
        <v>74</v>
      </c>
      <c r="L534" t="s">
        <v>74</v>
      </c>
      <c r="M534" t="s">
        <v>78</v>
      </c>
      <c r="N534" t="s">
        <v>79</v>
      </c>
      <c r="O534" t="s">
        <v>74</v>
      </c>
      <c r="P534" t="s">
        <v>74</v>
      </c>
      <c r="Q534" t="s">
        <v>74</v>
      </c>
      <c r="R534" t="s">
        <v>74</v>
      </c>
      <c r="S534" t="s">
        <v>74</v>
      </c>
      <c r="T534" t="s">
        <v>74</v>
      </c>
      <c r="U534" t="s">
        <v>9035</v>
      </c>
      <c r="V534" t="s">
        <v>9036</v>
      </c>
      <c r="W534" t="s">
        <v>9037</v>
      </c>
      <c r="X534" t="s">
        <v>9038</v>
      </c>
      <c r="Y534" t="s">
        <v>9039</v>
      </c>
      <c r="Z534" t="s">
        <v>9040</v>
      </c>
      <c r="AA534" t="s">
        <v>74</v>
      </c>
      <c r="AB534" t="s">
        <v>9041</v>
      </c>
      <c r="AC534" t="s">
        <v>74</v>
      </c>
      <c r="AD534" t="s">
        <v>74</v>
      </c>
      <c r="AE534" t="s">
        <v>74</v>
      </c>
      <c r="AF534" t="s">
        <v>74</v>
      </c>
      <c r="AG534">
        <v>66</v>
      </c>
      <c r="AH534">
        <v>15</v>
      </c>
      <c r="AI534">
        <v>15</v>
      </c>
      <c r="AJ534">
        <v>0</v>
      </c>
      <c r="AK534">
        <v>0</v>
      </c>
      <c r="AL534" t="s">
        <v>193</v>
      </c>
      <c r="AM534" t="s">
        <v>194</v>
      </c>
      <c r="AN534" t="s">
        <v>195</v>
      </c>
      <c r="AO534" t="s">
        <v>623</v>
      </c>
      <c r="AP534" t="s">
        <v>624</v>
      </c>
      <c r="AQ534" t="s">
        <v>74</v>
      </c>
      <c r="AR534" t="s">
        <v>625</v>
      </c>
      <c r="AS534" t="s">
        <v>626</v>
      </c>
      <c r="AT534" t="s">
        <v>9042</v>
      </c>
      <c r="AU534">
        <v>2007</v>
      </c>
      <c r="AV534">
        <v>112</v>
      </c>
      <c r="AW534" t="s">
        <v>8667</v>
      </c>
      <c r="AX534" t="s">
        <v>74</v>
      </c>
      <c r="AY534" t="s">
        <v>74</v>
      </c>
      <c r="AZ534" t="s">
        <v>74</v>
      </c>
      <c r="BA534" t="s">
        <v>74</v>
      </c>
      <c r="BB534" t="s">
        <v>74</v>
      </c>
      <c r="BC534" t="s">
        <v>74</v>
      </c>
      <c r="BD534" t="s">
        <v>9043</v>
      </c>
      <c r="BE534" t="s">
        <v>9044</v>
      </c>
      <c r="BF534" t="str">
        <f>HYPERLINK("http://dx.doi.org/10.1029/2007JC004221","http://dx.doi.org/10.1029/2007JC004221")</f>
        <v>http://dx.doi.org/10.1029/2007JC004221</v>
      </c>
      <c r="BG534" t="s">
        <v>74</v>
      </c>
      <c r="BH534" t="s">
        <v>74</v>
      </c>
      <c r="BI534">
        <v>19</v>
      </c>
      <c r="BJ534" t="s">
        <v>630</v>
      </c>
      <c r="BK534" t="s">
        <v>97</v>
      </c>
      <c r="BL534" t="s">
        <v>630</v>
      </c>
      <c r="BM534" t="s">
        <v>9045</v>
      </c>
      <c r="BN534" t="s">
        <v>74</v>
      </c>
      <c r="BO534" t="s">
        <v>74</v>
      </c>
      <c r="BP534" t="s">
        <v>74</v>
      </c>
      <c r="BQ534" t="s">
        <v>74</v>
      </c>
      <c r="BR534" t="s">
        <v>100</v>
      </c>
      <c r="BS534" t="s">
        <v>9046</v>
      </c>
      <c r="BT534" t="str">
        <f>HYPERLINK("https%3A%2F%2Fwww.webofscience.com%2Fwos%2Fwoscc%2Ffull-record%2FWOS:000251880100002","View Full Record in Web of Science")</f>
        <v>View Full Record in Web of Science</v>
      </c>
    </row>
    <row r="535" spans="1:72" x14ac:dyDescent="0.15">
      <c r="A535" t="s">
        <v>72</v>
      </c>
      <c r="B535" t="s">
        <v>9047</v>
      </c>
      <c r="C535" t="s">
        <v>74</v>
      </c>
      <c r="D535" t="s">
        <v>74</v>
      </c>
      <c r="E535" t="s">
        <v>74</v>
      </c>
      <c r="F535" t="s">
        <v>9048</v>
      </c>
      <c r="G535" t="s">
        <v>74</v>
      </c>
      <c r="H535" t="s">
        <v>74</v>
      </c>
      <c r="I535" t="s">
        <v>9049</v>
      </c>
      <c r="J535" t="s">
        <v>9050</v>
      </c>
      <c r="K535" t="s">
        <v>74</v>
      </c>
      <c r="L535" t="s">
        <v>74</v>
      </c>
      <c r="M535" t="s">
        <v>78</v>
      </c>
      <c r="N535" t="s">
        <v>79</v>
      </c>
      <c r="O535" t="s">
        <v>74</v>
      </c>
      <c r="P535" t="s">
        <v>74</v>
      </c>
      <c r="Q535" t="s">
        <v>74</v>
      </c>
      <c r="R535" t="s">
        <v>74</v>
      </c>
      <c r="S535" t="s">
        <v>74</v>
      </c>
      <c r="T535" t="s">
        <v>9051</v>
      </c>
      <c r="U535" t="s">
        <v>9052</v>
      </c>
      <c r="V535" t="s">
        <v>9053</v>
      </c>
      <c r="W535" t="s">
        <v>9054</v>
      </c>
      <c r="X535" t="s">
        <v>9055</v>
      </c>
      <c r="Y535" t="s">
        <v>9056</v>
      </c>
      <c r="Z535" t="s">
        <v>9057</v>
      </c>
      <c r="AA535" t="s">
        <v>9058</v>
      </c>
      <c r="AB535" t="s">
        <v>9059</v>
      </c>
      <c r="AC535" t="s">
        <v>74</v>
      </c>
      <c r="AD535" t="s">
        <v>74</v>
      </c>
      <c r="AE535" t="s">
        <v>74</v>
      </c>
      <c r="AF535" t="s">
        <v>74</v>
      </c>
      <c r="AG535">
        <v>43</v>
      </c>
      <c r="AH535">
        <v>87</v>
      </c>
      <c r="AI535">
        <v>98</v>
      </c>
      <c r="AJ535">
        <v>0</v>
      </c>
      <c r="AK535">
        <v>35</v>
      </c>
      <c r="AL535" t="s">
        <v>506</v>
      </c>
      <c r="AM535" t="s">
        <v>266</v>
      </c>
      <c r="AN535" t="s">
        <v>507</v>
      </c>
      <c r="AO535" t="s">
        <v>9060</v>
      </c>
      <c r="AP535" t="s">
        <v>74</v>
      </c>
      <c r="AQ535" t="s">
        <v>74</v>
      </c>
      <c r="AR535" t="s">
        <v>9061</v>
      </c>
      <c r="AS535" t="s">
        <v>9062</v>
      </c>
      <c r="AT535" t="s">
        <v>9063</v>
      </c>
      <c r="AU535">
        <v>2007</v>
      </c>
      <c r="AV535">
        <v>85</v>
      </c>
      <c r="AW535">
        <v>3</v>
      </c>
      <c r="AX535" t="s">
        <v>74</v>
      </c>
      <c r="AY535" t="s">
        <v>74</v>
      </c>
      <c r="AZ535" t="s">
        <v>74</v>
      </c>
      <c r="BA535" t="s">
        <v>74</v>
      </c>
      <c r="BB535">
        <v>167</v>
      </c>
      <c r="BC535">
        <v>175</v>
      </c>
      <c r="BD535" t="s">
        <v>74</v>
      </c>
      <c r="BE535" t="s">
        <v>9064</v>
      </c>
      <c r="BF535" t="str">
        <f>HYPERLINK("http://dx.doi.org/10.1016/j.aquatox.2007.08.009","http://dx.doi.org/10.1016/j.aquatox.2007.08.009")</f>
        <v>http://dx.doi.org/10.1016/j.aquatox.2007.08.009</v>
      </c>
      <c r="BG535" t="s">
        <v>74</v>
      </c>
      <c r="BH535" t="s">
        <v>74</v>
      </c>
      <c r="BI535">
        <v>9</v>
      </c>
      <c r="BJ535" t="s">
        <v>9065</v>
      </c>
      <c r="BK535" t="s">
        <v>97</v>
      </c>
      <c r="BL535" t="s">
        <v>9065</v>
      </c>
      <c r="BM535" t="s">
        <v>9066</v>
      </c>
      <c r="BN535">
        <v>17923160</v>
      </c>
      <c r="BO535" t="s">
        <v>74</v>
      </c>
      <c r="BP535" t="s">
        <v>74</v>
      </c>
      <c r="BQ535" t="s">
        <v>74</v>
      </c>
      <c r="BR535" t="s">
        <v>100</v>
      </c>
      <c r="BS535" t="s">
        <v>9067</v>
      </c>
      <c r="BT535" t="str">
        <f>HYPERLINK("https%3A%2F%2Fwww.webofscience.com%2Fwos%2Fwoscc%2Ffull-record%2FWOS:000251639100001","View Full Record in Web of Science")</f>
        <v>View Full Record in Web of Science</v>
      </c>
    </row>
    <row r="536" spans="1:72" x14ac:dyDescent="0.15">
      <c r="A536" t="s">
        <v>72</v>
      </c>
      <c r="B536" t="s">
        <v>9068</v>
      </c>
      <c r="C536" t="s">
        <v>74</v>
      </c>
      <c r="D536" t="s">
        <v>74</v>
      </c>
      <c r="E536" t="s">
        <v>74</v>
      </c>
      <c r="F536" t="s">
        <v>9069</v>
      </c>
      <c r="G536" t="s">
        <v>74</v>
      </c>
      <c r="H536" t="s">
        <v>74</v>
      </c>
      <c r="I536" t="s">
        <v>9070</v>
      </c>
      <c r="J536" t="s">
        <v>9071</v>
      </c>
      <c r="K536" t="s">
        <v>74</v>
      </c>
      <c r="L536" t="s">
        <v>74</v>
      </c>
      <c r="M536" t="s">
        <v>78</v>
      </c>
      <c r="N536" t="s">
        <v>106</v>
      </c>
      <c r="O536" t="s">
        <v>74</v>
      </c>
      <c r="P536" t="s">
        <v>74</v>
      </c>
      <c r="Q536" t="s">
        <v>74</v>
      </c>
      <c r="R536" t="s">
        <v>74</v>
      </c>
      <c r="S536" t="s">
        <v>74</v>
      </c>
      <c r="T536" t="s">
        <v>9072</v>
      </c>
      <c r="U536" t="s">
        <v>9073</v>
      </c>
      <c r="V536" t="s">
        <v>9074</v>
      </c>
      <c r="W536" t="s">
        <v>9075</v>
      </c>
      <c r="X536" t="s">
        <v>9076</v>
      </c>
      <c r="Y536" t="s">
        <v>9077</v>
      </c>
      <c r="Z536" t="s">
        <v>9078</v>
      </c>
      <c r="AA536" t="s">
        <v>9079</v>
      </c>
      <c r="AB536" t="s">
        <v>74</v>
      </c>
      <c r="AC536" t="s">
        <v>74</v>
      </c>
      <c r="AD536" t="s">
        <v>74</v>
      </c>
      <c r="AE536" t="s">
        <v>74</v>
      </c>
      <c r="AF536" t="s">
        <v>74</v>
      </c>
      <c r="AG536">
        <v>118</v>
      </c>
      <c r="AH536">
        <v>42</v>
      </c>
      <c r="AI536">
        <v>43</v>
      </c>
      <c r="AJ536">
        <v>0</v>
      </c>
      <c r="AK536">
        <v>17</v>
      </c>
      <c r="AL536" t="s">
        <v>265</v>
      </c>
      <c r="AM536" t="s">
        <v>266</v>
      </c>
      <c r="AN536" t="s">
        <v>267</v>
      </c>
      <c r="AO536" t="s">
        <v>9080</v>
      </c>
      <c r="AP536" t="s">
        <v>9081</v>
      </c>
      <c r="AQ536" t="s">
        <v>74</v>
      </c>
      <c r="AR536" t="s">
        <v>9082</v>
      </c>
      <c r="AS536" t="s">
        <v>9083</v>
      </c>
      <c r="AT536" t="s">
        <v>9063</v>
      </c>
      <c r="AU536">
        <v>2007</v>
      </c>
      <c r="AV536">
        <v>202</v>
      </c>
      <c r="AW536">
        <v>4</v>
      </c>
      <c r="AX536" t="s">
        <v>74</v>
      </c>
      <c r="AY536" t="s">
        <v>74</v>
      </c>
      <c r="AZ536" t="s">
        <v>74</v>
      </c>
      <c r="BA536" t="s">
        <v>74</v>
      </c>
      <c r="BB536">
        <v>653</v>
      </c>
      <c r="BC536">
        <v>676</v>
      </c>
      <c r="BD536" t="s">
        <v>74</v>
      </c>
      <c r="BE536" t="s">
        <v>9084</v>
      </c>
      <c r="BF536" t="str">
        <f>HYPERLINK("http://dx.doi.org/10.1016/j.sedgeo.2007.07.011","http://dx.doi.org/10.1016/j.sedgeo.2007.07.011")</f>
        <v>http://dx.doi.org/10.1016/j.sedgeo.2007.07.011</v>
      </c>
      <c r="BG536" t="s">
        <v>74</v>
      </c>
      <c r="BH536" t="s">
        <v>74</v>
      </c>
      <c r="BI536">
        <v>24</v>
      </c>
      <c r="BJ536" t="s">
        <v>98</v>
      </c>
      <c r="BK536" t="s">
        <v>97</v>
      </c>
      <c r="BL536" t="s">
        <v>98</v>
      </c>
      <c r="BM536" t="s">
        <v>9085</v>
      </c>
      <c r="BN536" t="s">
        <v>74</v>
      </c>
      <c r="BO536" t="s">
        <v>74</v>
      </c>
      <c r="BP536" t="s">
        <v>74</v>
      </c>
      <c r="BQ536" t="s">
        <v>74</v>
      </c>
      <c r="BR536" t="s">
        <v>100</v>
      </c>
      <c r="BS536" t="s">
        <v>9086</v>
      </c>
      <c r="BT536" t="str">
        <f>HYPERLINK("https%3A%2F%2Fwww.webofscience.com%2Fwos%2Fwoscc%2Ffull-record%2FWOS:000251942500004","View Full Record in Web of Science")</f>
        <v>View Full Record in Web of Science</v>
      </c>
    </row>
    <row r="537" spans="1:72" x14ac:dyDescent="0.15">
      <c r="A537" t="s">
        <v>72</v>
      </c>
      <c r="B537" t="s">
        <v>9087</v>
      </c>
      <c r="C537" t="s">
        <v>74</v>
      </c>
      <c r="D537" t="s">
        <v>74</v>
      </c>
      <c r="E537" t="s">
        <v>74</v>
      </c>
      <c r="F537" t="s">
        <v>9088</v>
      </c>
      <c r="G537" t="s">
        <v>74</v>
      </c>
      <c r="H537" t="s">
        <v>74</v>
      </c>
      <c r="I537" t="s">
        <v>9089</v>
      </c>
      <c r="J537" t="s">
        <v>9090</v>
      </c>
      <c r="K537" t="s">
        <v>74</v>
      </c>
      <c r="L537" t="s">
        <v>74</v>
      </c>
      <c r="M537" t="s">
        <v>78</v>
      </c>
      <c r="N537" t="s">
        <v>1602</v>
      </c>
      <c r="O537" t="s">
        <v>9091</v>
      </c>
      <c r="P537" t="s">
        <v>9092</v>
      </c>
      <c r="Q537" t="s">
        <v>9093</v>
      </c>
      <c r="R537" t="s">
        <v>74</v>
      </c>
      <c r="S537" t="s">
        <v>74</v>
      </c>
      <c r="T537" t="s">
        <v>9094</v>
      </c>
      <c r="U537" t="s">
        <v>9095</v>
      </c>
      <c r="V537" t="s">
        <v>9096</v>
      </c>
      <c r="W537" t="s">
        <v>9097</v>
      </c>
      <c r="X537" t="s">
        <v>6758</v>
      </c>
      <c r="Y537" t="s">
        <v>9098</v>
      </c>
      <c r="Z537" t="s">
        <v>6760</v>
      </c>
      <c r="AA537" t="s">
        <v>74</v>
      </c>
      <c r="AB537" t="s">
        <v>74</v>
      </c>
      <c r="AC537" t="s">
        <v>74</v>
      </c>
      <c r="AD537" t="s">
        <v>74</v>
      </c>
      <c r="AE537" t="s">
        <v>74</v>
      </c>
      <c r="AF537" t="s">
        <v>74</v>
      </c>
      <c r="AG537">
        <v>33</v>
      </c>
      <c r="AH537">
        <v>17</v>
      </c>
      <c r="AI537">
        <v>17</v>
      </c>
      <c r="AJ537">
        <v>0</v>
      </c>
      <c r="AK537">
        <v>14</v>
      </c>
      <c r="AL537" t="s">
        <v>521</v>
      </c>
      <c r="AM537" t="s">
        <v>522</v>
      </c>
      <c r="AN537" t="s">
        <v>523</v>
      </c>
      <c r="AO537" t="s">
        <v>9099</v>
      </c>
      <c r="AP537" t="s">
        <v>74</v>
      </c>
      <c r="AQ537" t="s">
        <v>74</v>
      </c>
      <c r="AR537" t="s">
        <v>9100</v>
      </c>
      <c r="AS537" t="s">
        <v>9101</v>
      </c>
      <c r="AT537" t="s">
        <v>9063</v>
      </c>
      <c r="AU537">
        <v>2007</v>
      </c>
      <c r="AV537">
        <v>68</v>
      </c>
      <c r="AW537">
        <v>4</v>
      </c>
      <c r="AX537" t="s">
        <v>74</v>
      </c>
      <c r="AY537" t="s">
        <v>74</v>
      </c>
      <c r="AZ537" t="s">
        <v>5368</v>
      </c>
      <c r="BA537" t="s">
        <v>74</v>
      </c>
      <c r="BB537">
        <v>1126</v>
      </c>
      <c r="BC537">
        <v>1132</v>
      </c>
      <c r="BD537" t="s">
        <v>74</v>
      </c>
      <c r="BE537" t="s">
        <v>9102</v>
      </c>
      <c r="BF537" t="str">
        <f>HYPERLINK("http://dx.doi.org/10.1016/j.saa.2006.11.029","http://dx.doi.org/10.1016/j.saa.2006.11.029")</f>
        <v>http://dx.doi.org/10.1016/j.saa.2006.11.029</v>
      </c>
      <c r="BG537" t="s">
        <v>74</v>
      </c>
      <c r="BH537" t="s">
        <v>74</v>
      </c>
      <c r="BI537">
        <v>7</v>
      </c>
      <c r="BJ537" t="s">
        <v>9103</v>
      </c>
      <c r="BK537" t="s">
        <v>8389</v>
      </c>
      <c r="BL537" t="s">
        <v>9103</v>
      </c>
      <c r="BM537" t="s">
        <v>9104</v>
      </c>
      <c r="BN537">
        <v>17267270</v>
      </c>
      <c r="BO537" t="s">
        <v>74</v>
      </c>
      <c r="BP537" t="s">
        <v>74</v>
      </c>
      <c r="BQ537" t="s">
        <v>74</v>
      </c>
      <c r="BR537" t="s">
        <v>100</v>
      </c>
      <c r="BS537" t="s">
        <v>9105</v>
      </c>
      <c r="BT537" t="str">
        <f>HYPERLINK("https%3A%2F%2Fwww.webofscience.com%2Fwos%2Fwoscc%2Ffull-record%2FWOS:000251747000018","View Full Record in Web of Science")</f>
        <v>View Full Record in Web of Science</v>
      </c>
    </row>
    <row r="538" spans="1:72" x14ac:dyDescent="0.15">
      <c r="A538" t="s">
        <v>72</v>
      </c>
      <c r="B538" t="s">
        <v>9106</v>
      </c>
      <c r="C538" t="s">
        <v>74</v>
      </c>
      <c r="D538" t="s">
        <v>74</v>
      </c>
      <c r="E538" t="s">
        <v>74</v>
      </c>
      <c r="F538" t="s">
        <v>9107</v>
      </c>
      <c r="G538" t="s">
        <v>74</v>
      </c>
      <c r="H538" t="s">
        <v>74</v>
      </c>
      <c r="I538" t="s">
        <v>9108</v>
      </c>
      <c r="J538" t="s">
        <v>159</v>
      </c>
      <c r="K538" t="s">
        <v>74</v>
      </c>
      <c r="L538" t="s">
        <v>74</v>
      </c>
      <c r="M538" t="s">
        <v>78</v>
      </c>
      <c r="N538" t="s">
        <v>79</v>
      </c>
      <c r="O538" t="s">
        <v>74</v>
      </c>
      <c r="P538" t="s">
        <v>74</v>
      </c>
      <c r="Q538" t="s">
        <v>74</v>
      </c>
      <c r="R538" t="s">
        <v>74</v>
      </c>
      <c r="S538" t="s">
        <v>74</v>
      </c>
      <c r="T538" t="s">
        <v>9109</v>
      </c>
      <c r="U538" t="s">
        <v>9110</v>
      </c>
      <c r="V538" t="s">
        <v>9111</v>
      </c>
      <c r="W538" t="s">
        <v>9112</v>
      </c>
      <c r="X538" t="s">
        <v>9113</v>
      </c>
      <c r="Y538" t="s">
        <v>9114</v>
      </c>
      <c r="Z538" t="s">
        <v>9115</v>
      </c>
      <c r="AA538" t="s">
        <v>9116</v>
      </c>
      <c r="AB538" t="s">
        <v>9117</v>
      </c>
      <c r="AC538" t="s">
        <v>74</v>
      </c>
      <c r="AD538" t="s">
        <v>74</v>
      </c>
      <c r="AE538" t="s">
        <v>74</v>
      </c>
      <c r="AF538" t="s">
        <v>74</v>
      </c>
      <c r="AG538">
        <v>53</v>
      </c>
      <c r="AH538">
        <v>45</v>
      </c>
      <c r="AI538">
        <v>48</v>
      </c>
      <c r="AJ538">
        <v>0</v>
      </c>
      <c r="AK538">
        <v>21</v>
      </c>
      <c r="AL538" t="s">
        <v>167</v>
      </c>
      <c r="AM538" t="s">
        <v>168</v>
      </c>
      <c r="AN538" t="s">
        <v>169</v>
      </c>
      <c r="AO538" t="s">
        <v>170</v>
      </c>
      <c r="AP538" t="s">
        <v>74</v>
      </c>
      <c r="AQ538" t="s">
        <v>74</v>
      </c>
      <c r="AR538" t="s">
        <v>172</v>
      </c>
      <c r="AS538" t="s">
        <v>173</v>
      </c>
      <c r="AT538" t="s">
        <v>9118</v>
      </c>
      <c r="AU538">
        <v>2007</v>
      </c>
      <c r="AV538">
        <v>50</v>
      </c>
      <c r="AW538">
        <v>1</v>
      </c>
      <c r="AX538" t="s">
        <v>74</v>
      </c>
      <c r="AY538" t="s">
        <v>74</v>
      </c>
      <c r="AZ538" t="s">
        <v>74</v>
      </c>
      <c r="BA538" t="s">
        <v>74</v>
      </c>
      <c r="BB538">
        <v>63</v>
      </c>
      <c r="BC538">
        <v>74</v>
      </c>
      <c r="BD538" t="s">
        <v>74</v>
      </c>
      <c r="BE538" t="s">
        <v>9119</v>
      </c>
      <c r="BF538" t="str">
        <f>HYPERLINK("http://dx.doi.org/10.3354/ame01156","http://dx.doi.org/10.3354/ame01156")</f>
        <v>http://dx.doi.org/10.3354/ame01156</v>
      </c>
      <c r="BG538" t="s">
        <v>74</v>
      </c>
      <c r="BH538" t="s">
        <v>74</v>
      </c>
      <c r="BI538">
        <v>12</v>
      </c>
      <c r="BJ538" t="s">
        <v>176</v>
      </c>
      <c r="BK538" t="s">
        <v>97</v>
      </c>
      <c r="BL538" t="s">
        <v>177</v>
      </c>
      <c r="BM538" t="s">
        <v>9120</v>
      </c>
      <c r="BN538" t="s">
        <v>74</v>
      </c>
      <c r="BO538" t="s">
        <v>610</v>
      </c>
      <c r="BP538" t="s">
        <v>74</v>
      </c>
      <c r="BQ538" t="s">
        <v>74</v>
      </c>
      <c r="BR538" t="s">
        <v>100</v>
      </c>
      <c r="BS538" t="s">
        <v>9121</v>
      </c>
      <c r="BT538" t="str">
        <f>HYPERLINK("https%3A%2F%2Fwww.webofscience.com%2Fwos%2Fwoscc%2Ffull-record%2FWOS:000252478500006","View Full Record in Web of Science")</f>
        <v>View Full Record in Web of Science</v>
      </c>
    </row>
    <row r="539" spans="1:72" x14ac:dyDescent="0.15">
      <c r="A539" t="s">
        <v>72</v>
      </c>
      <c r="B539" t="s">
        <v>9122</v>
      </c>
      <c r="C539" t="s">
        <v>74</v>
      </c>
      <c r="D539" t="s">
        <v>74</v>
      </c>
      <c r="E539" t="s">
        <v>74</v>
      </c>
      <c r="F539" t="s">
        <v>9123</v>
      </c>
      <c r="G539" t="s">
        <v>74</v>
      </c>
      <c r="H539" t="s">
        <v>74</v>
      </c>
      <c r="I539" t="s">
        <v>9124</v>
      </c>
      <c r="J539" t="s">
        <v>233</v>
      </c>
      <c r="K539" t="s">
        <v>74</v>
      </c>
      <c r="L539" t="s">
        <v>74</v>
      </c>
      <c r="M539" t="s">
        <v>78</v>
      </c>
      <c r="N539" t="s">
        <v>79</v>
      </c>
      <c r="O539" t="s">
        <v>74</v>
      </c>
      <c r="P539" t="s">
        <v>74</v>
      </c>
      <c r="Q539" t="s">
        <v>74</v>
      </c>
      <c r="R539" t="s">
        <v>74</v>
      </c>
      <c r="S539" t="s">
        <v>74</v>
      </c>
      <c r="T539" t="s">
        <v>74</v>
      </c>
      <c r="U539" t="s">
        <v>9125</v>
      </c>
      <c r="V539" t="s">
        <v>9126</v>
      </c>
      <c r="W539" t="s">
        <v>9127</v>
      </c>
      <c r="X539" t="s">
        <v>9128</v>
      </c>
      <c r="Y539" t="s">
        <v>9129</v>
      </c>
      <c r="Z539" t="s">
        <v>9130</v>
      </c>
      <c r="AA539" t="s">
        <v>9131</v>
      </c>
      <c r="AB539" t="s">
        <v>9132</v>
      </c>
      <c r="AC539" t="s">
        <v>74</v>
      </c>
      <c r="AD539" t="s">
        <v>74</v>
      </c>
      <c r="AE539" t="s">
        <v>74</v>
      </c>
      <c r="AF539" t="s">
        <v>74</v>
      </c>
      <c r="AG539">
        <v>28</v>
      </c>
      <c r="AH539">
        <v>103</v>
      </c>
      <c r="AI539">
        <v>112</v>
      </c>
      <c r="AJ539">
        <v>1</v>
      </c>
      <c r="AK539">
        <v>32</v>
      </c>
      <c r="AL539" t="s">
        <v>193</v>
      </c>
      <c r="AM539" t="s">
        <v>194</v>
      </c>
      <c r="AN539" t="s">
        <v>195</v>
      </c>
      <c r="AO539" t="s">
        <v>243</v>
      </c>
      <c r="AP539" t="s">
        <v>74</v>
      </c>
      <c r="AQ539" t="s">
        <v>74</v>
      </c>
      <c r="AR539" t="s">
        <v>244</v>
      </c>
      <c r="AS539" t="s">
        <v>245</v>
      </c>
      <c r="AT539" t="s">
        <v>9118</v>
      </c>
      <c r="AU539">
        <v>2007</v>
      </c>
      <c r="AV539">
        <v>34</v>
      </c>
      <c r="AW539">
        <v>23</v>
      </c>
      <c r="AX539" t="s">
        <v>74</v>
      </c>
      <c r="AY539" t="s">
        <v>74</v>
      </c>
      <c r="AZ539" t="s">
        <v>74</v>
      </c>
      <c r="BA539" t="s">
        <v>74</v>
      </c>
      <c r="BB539" t="s">
        <v>74</v>
      </c>
      <c r="BC539" t="s">
        <v>74</v>
      </c>
      <c r="BD539" t="s">
        <v>9133</v>
      </c>
      <c r="BE539" t="s">
        <v>9134</v>
      </c>
      <c r="BF539" t="str">
        <f>HYPERLINK("http://dx.doi.org/10.1029/2007GL031583","http://dx.doi.org/10.1029/2007GL031583")</f>
        <v>http://dx.doi.org/10.1029/2007GL031583</v>
      </c>
      <c r="BG539" t="s">
        <v>74</v>
      </c>
      <c r="BH539" t="s">
        <v>74</v>
      </c>
      <c r="BI539">
        <v>5</v>
      </c>
      <c r="BJ539" t="s">
        <v>96</v>
      </c>
      <c r="BK539" t="s">
        <v>97</v>
      </c>
      <c r="BL539" t="s">
        <v>98</v>
      </c>
      <c r="BM539" t="s">
        <v>9135</v>
      </c>
      <c r="BN539" t="s">
        <v>74</v>
      </c>
      <c r="BO539" t="s">
        <v>414</v>
      </c>
      <c r="BP539" t="s">
        <v>74</v>
      </c>
      <c r="BQ539" t="s">
        <v>74</v>
      </c>
      <c r="BR539" t="s">
        <v>100</v>
      </c>
      <c r="BS539" t="s">
        <v>9136</v>
      </c>
      <c r="BT539" t="str">
        <f>HYPERLINK("https%3A%2F%2Fwww.webofscience.com%2Fwos%2Fwoscc%2Ffull-record%2FWOS:000251690000001","View Full Record in Web of Science")</f>
        <v>View Full Record in Web of Science</v>
      </c>
    </row>
    <row r="540" spans="1:72" x14ac:dyDescent="0.15">
      <c r="A540" t="s">
        <v>72</v>
      </c>
      <c r="B540" t="s">
        <v>9137</v>
      </c>
      <c r="C540" t="s">
        <v>74</v>
      </c>
      <c r="D540" t="s">
        <v>74</v>
      </c>
      <c r="E540" t="s">
        <v>74</v>
      </c>
      <c r="F540" t="s">
        <v>9138</v>
      </c>
      <c r="G540" t="s">
        <v>74</v>
      </c>
      <c r="H540" t="s">
        <v>74</v>
      </c>
      <c r="I540" t="s">
        <v>9139</v>
      </c>
      <c r="J540" t="s">
        <v>9140</v>
      </c>
      <c r="K540" t="s">
        <v>74</v>
      </c>
      <c r="L540" t="s">
        <v>74</v>
      </c>
      <c r="M540" t="s">
        <v>78</v>
      </c>
      <c r="N540" t="s">
        <v>2552</v>
      </c>
      <c r="O540" t="s">
        <v>74</v>
      </c>
      <c r="P540" t="s">
        <v>74</v>
      </c>
      <c r="Q540" t="s">
        <v>74</v>
      </c>
      <c r="R540" t="s">
        <v>74</v>
      </c>
      <c r="S540" t="s">
        <v>74</v>
      </c>
      <c r="T540" t="s">
        <v>74</v>
      </c>
      <c r="U540" t="s">
        <v>74</v>
      </c>
      <c r="V540" t="s">
        <v>74</v>
      </c>
      <c r="W540" t="s">
        <v>74</v>
      </c>
      <c r="X540" t="s">
        <v>74</v>
      </c>
      <c r="Y540" t="s">
        <v>74</v>
      </c>
      <c r="Z540" t="s">
        <v>74</v>
      </c>
      <c r="AA540" t="s">
        <v>74</v>
      </c>
      <c r="AB540" t="s">
        <v>74</v>
      </c>
      <c r="AC540" t="s">
        <v>74</v>
      </c>
      <c r="AD540" t="s">
        <v>74</v>
      </c>
      <c r="AE540" t="s">
        <v>74</v>
      </c>
      <c r="AF540" t="s">
        <v>74</v>
      </c>
      <c r="AG540">
        <v>1</v>
      </c>
      <c r="AH540">
        <v>0</v>
      </c>
      <c r="AI540">
        <v>0</v>
      </c>
      <c r="AJ540">
        <v>0</v>
      </c>
      <c r="AK540">
        <v>0</v>
      </c>
      <c r="AL540" t="s">
        <v>9141</v>
      </c>
      <c r="AM540" t="s">
        <v>662</v>
      </c>
      <c r="AN540" t="s">
        <v>9142</v>
      </c>
      <c r="AO540" t="s">
        <v>9143</v>
      </c>
      <c r="AP540" t="s">
        <v>74</v>
      </c>
      <c r="AQ540" t="s">
        <v>74</v>
      </c>
      <c r="AR540" t="s">
        <v>9144</v>
      </c>
      <c r="AS540" t="s">
        <v>9145</v>
      </c>
      <c r="AT540" t="s">
        <v>9146</v>
      </c>
      <c r="AU540">
        <v>2007</v>
      </c>
      <c r="AV540" t="s">
        <v>74</v>
      </c>
      <c r="AW540" t="s">
        <v>74</v>
      </c>
      <c r="AX540" t="s">
        <v>74</v>
      </c>
      <c r="AY540" t="s">
        <v>74</v>
      </c>
      <c r="AZ540" t="s">
        <v>74</v>
      </c>
      <c r="BA540" t="s">
        <v>74</v>
      </c>
      <c r="BB540">
        <v>32</v>
      </c>
      <c r="BC540">
        <v>32</v>
      </c>
      <c r="BD540" t="s">
        <v>74</v>
      </c>
      <c r="BE540" t="s">
        <v>74</v>
      </c>
      <c r="BF540" t="s">
        <v>74</v>
      </c>
      <c r="BG540" t="s">
        <v>74</v>
      </c>
      <c r="BH540" t="s">
        <v>74</v>
      </c>
      <c r="BI540">
        <v>1</v>
      </c>
      <c r="BJ540" t="s">
        <v>9147</v>
      </c>
      <c r="BK540" t="s">
        <v>3207</v>
      </c>
      <c r="BL540" t="s">
        <v>9148</v>
      </c>
      <c r="BM540" t="s">
        <v>9149</v>
      </c>
      <c r="BN540" t="s">
        <v>74</v>
      </c>
      <c r="BO540" t="s">
        <v>74</v>
      </c>
      <c r="BP540" t="s">
        <v>74</v>
      </c>
      <c r="BQ540" t="s">
        <v>74</v>
      </c>
      <c r="BR540" t="s">
        <v>100</v>
      </c>
      <c r="BS540" t="s">
        <v>9150</v>
      </c>
      <c r="BT540" t="str">
        <f>HYPERLINK("https%3A%2F%2Fwww.webofscience.com%2Fwos%2Fwoscc%2Ffull-record%2FWOS:000251646300033","View Full Record in Web of Science")</f>
        <v>View Full Record in Web of Science</v>
      </c>
    </row>
    <row r="541" spans="1:72" x14ac:dyDescent="0.15">
      <c r="A541" t="s">
        <v>72</v>
      </c>
      <c r="B541" t="s">
        <v>9151</v>
      </c>
      <c r="C541" t="s">
        <v>74</v>
      </c>
      <c r="D541" t="s">
        <v>74</v>
      </c>
      <c r="E541" t="s">
        <v>74</v>
      </c>
      <c r="F541" t="s">
        <v>9152</v>
      </c>
      <c r="G541" t="s">
        <v>74</v>
      </c>
      <c r="H541" t="s">
        <v>74</v>
      </c>
      <c r="I541" t="s">
        <v>9153</v>
      </c>
      <c r="J541" t="s">
        <v>184</v>
      </c>
      <c r="K541" t="s">
        <v>74</v>
      </c>
      <c r="L541" t="s">
        <v>74</v>
      </c>
      <c r="M541" t="s">
        <v>78</v>
      </c>
      <c r="N541" t="s">
        <v>79</v>
      </c>
      <c r="O541" t="s">
        <v>74</v>
      </c>
      <c r="P541" t="s">
        <v>74</v>
      </c>
      <c r="Q541" t="s">
        <v>74</v>
      </c>
      <c r="R541" t="s">
        <v>74</v>
      </c>
      <c r="S541" t="s">
        <v>74</v>
      </c>
      <c r="T541" t="s">
        <v>74</v>
      </c>
      <c r="U541" t="s">
        <v>9154</v>
      </c>
      <c r="V541" t="s">
        <v>9155</v>
      </c>
      <c r="W541" t="s">
        <v>9156</v>
      </c>
      <c r="X541" t="s">
        <v>9157</v>
      </c>
      <c r="Y541" t="s">
        <v>9158</v>
      </c>
      <c r="Z541" t="s">
        <v>74</v>
      </c>
      <c r="AA541" t="s">
        <v>9159</v>
      </c>
      <c r="AB541" t="s">
        <v>9160</v>
      </c>
      <c r="AC541" t="s">
        <v>394</v>
      </c>
      <c r="AD541" t="s">
        <v>242</v>
      </c>
      <c r="AE541" t="s">
        <v>74</v>
      </c>
      <c r="AF541" t="s">
        <v>74</v>
      </c>
      <c r="AG541">
        <v>27</v>
      </c>
      <c r="AH541">
        <v>43</v>
      </c>
      <c r="AI541">
        <v>44</v>
      </c>
      <c r="AJ541">
        <v>0</v>
      </c>
      <c r="AK541">
        <v>7</v>
      </c>
      <c r="AL541" t="s">
        <v>193</v>
      </c>
      <c r="AM541" t="s">
        <v>194</v>
      </c>
      <c r="AN541" t="s">
        <v>195</v>
      </c>
      <c r="AO541" t="s">
        <v>196</v>
      </c>
      <c r="AP541" t="s">
        <v>197</v>
      </c>
      <c r="AQ541" t="s">
        <v>74</v>
      </c>
      <c r="AR541" t="s">
        <v>198</v>
      </c>
      <c r="AS541" t="s">
        <v>199</v>
      </c>
      <c r="AT541" t="s">
        <v>9161</v>
      </c>
      <c r="AU541">
        <v>2007</v>
      </c>
      <c r="AV541">
        <v>112</v>
      </c>
      <c r="AW541" t="s">
        <v>9162</v>
      </c>
      <c r="AX541" t="s">
        <v>74</v>
      </c>
      <c r="AY541" t="s">
        <v>74</v>
      </c>
      <c r="AZ541" t="s">
        <v>74</v>
      </c>
      <c r="BA541" t="s">
        <v>74</v>
      </c>
      <c r="BB541" t="s">
        <v>74</v>
      </c>
      <c r="BC541" t="s">
        <v>74</v>
      </c>
      <c r="BD541" t="s">
        <v>9163</v>
      </c>
      <c r="BE541" t="s">
        <v>9164</v>
      </c>
      <c r="BF541" t="str">
        <f>HYPERLINK("http://dx.doi.org/10.1029/2006JD008326","http://dx.doi.org/10.1029/2006JD008326")</f>
        <v>http://dx.doi.org/10.1029/2006JD008326</v>
      </c>
      <c r="BG541" t="s">
        <v>74</v>
      </c>
      <c r="BH541" t="s">
        <v>74</v>
      </c>
      <c r="BI541">
        <v>11</v>
      </c>
      <c r="BJ541" t="s">
        <v>204</v>
      </c>
      <c r="BK541" t="s">
        <v>97</v>
      </c>
      <c r="BL541" t="s">
        <v>204</v>
      </c>
      <c r="BM541" t="s">
        <v>9165</v>
      </c>
      <c r="BN541" t="s">
        <v>74</v>
      </c>
      <c r="BO541" t="s">
        <v>179</v>
      </c>
      <c r="BP541" t="s">
        <v>74</v>
      </c>
      <c r="BQ541" t="s">
        <v>74</v>
      </c>
      <c r="BR541" t="s">
        <v>100</v>
      </c>
      <c r="BS541" t="s">
        <v>9166</v>
      </c>
      <c r="BT541" t="str">
        <f>HYPERLINK("https%3A%2F%2Fwww.webofscience.com%2Fwos%2Fwoscc%2Ffull-record%2FWOS:000251525600002","View Full Record in Web of Science")</f>
        <v>View Full Record in Web of Science</v>
      </c>
    </row>
    <row r="542" spans="1:72" x14ac:dyDescent="0.15">
      <c r="A542" t="s">
        <v>72</v>
      </c>
      <c r="B542" t="s">
        <v>9167</v>
      </c>
      <c r="C542" t="s">
        <v>74</v>
      </c>
      <c r="D542" t="s">
        <v>74</v>
      </c>
      <c r="E542" t="s">
        <v>74</v>
      </c>
      <c r="F542" t="s">
        <v>9168</v>
      </c>
      <c r="G542" t="s">
        <v>74</v>
      </c>
      <c r="H542" t="s">
        <v>74</v>
      </c>
      <c r="I542" t="s">
        <v>9169</v>
      </c>
      <c r="J542" t="s">
        <v>333</v>
      </c>
      <c r="K542" t="s">
        <v>74</v>
      </c>
      <c r="L542" t="s">
        <v>74</v>
      </c>
      <c r="M542" t="s">
        <v>78</v>
      </c>
      <c r="N542" t="s">
        <v>79</v>
      </c>
      <c r="O542" t="s">
        <v>74</v>
      </c>
      <c r="P542" t="s">
        <v>74</v>
      </c>
      <c r="Q542" t="s">
        <v>74</v>
      </c>
      <c r="R542" t="s">
        <v>74</v>
      </c>
      <c r="S542" t="s">
        <v>74</v>
      </c>
      <c r="T542" t="s">
        <v>74</v>
      </c>
      <c r="U542" t="s">
        <v>9170</v>
      </c>
      <c r="V542" t="s">
        <v>9171</v>
      </c>
      <c r="W542" t="s">
        <v>9172</v>
      </c>
      <c r="X542" t="s">
        <v>9173</v>
      </c>
      <c r="Y542" t="s">
        <v>9174</v>
      </c>
      <c r="Z542" t="s">
        <v>9175</v>
      </c>
      <c r="AA542" t="s">
        <v>9176</v>
      </c>
      <c r="AB542" t="s">
        <v>9177</v>
      </c>
      <c r="AC542" t="s">
        <v>394</v>
      </c>
      <c r="AD542" t="s">
        <v>242</v>
      </c>
      <c r="AE542" t="s">
        <v>74</v>
      </c>
      <c r="AF542" t="s">
        <v>74</v>
      </c>
      <c r="AG542">
        <v>27</v>
      </c>
      <c r="AH542">
        <v>33</v>
      </c>
      <c r="AI542">
        <v>35</v>
      </c>
      <c r="AJ542">
        <v>0</v>
      </c>
      <c r="AK542">
        <v>4</v>
      </c>
      <c r="AL542" t="s">
        <v>193</v>
      </c>
      <c r="AM542" t="s">
        <v>194</v>
      </c>
      <c r="AN542" t="s">
        <v>195</v>
      </c>
      <c r="AO542" t="s">
        <v>344</v>
      </c>
      <c r="AP542" t="s">
        <v>345</v>
      </c>
      <c r="AQ542" t="s">
        <v>74</v>
      </c>
      <c r="AR542" t="s">
        <v>346</v>
      </c>
      <c r="AS542" t="s">
        <v>347</v>
      </c>
      <c r="AT542" t="s">
        <v>9178</v>
      </c>
      <c r="AU542">
        <v>2007</v>
      </c>
      <c r="AV542">
        <v>112</v>
      </c>
      <c r="AW542" t="s">
        <v>8909</v>
      </c>
      <c r="AX542" t="s">
        <v>74</v>
      </c>
      <c r="AY542" t="s">
        <v>74</v>
      </c>
      <c r="AZ542" t="s">
        <v>74</v>
      </c>
      <c r="BA542" t="s">
        <v>74</v>
      </c>
      <c r="BB542" t="s">
        <v>74</v>
      </c>
      <c r="BC542" t="s">
        <v>74</v>
      </c>
      <c r="BD542" t="s">
        <v>9179</v>
      </c>
      <c r="BE542" t="s">
        <v>9180</v>
      </c>
      <c r="BF542" t="str">
        <f>HYPERLINK("http://dx.doi.org/10.1029/2007JA012395","http://dx.doi.org/10.1029/2007JA012395")</f>
        <v>http://dx.doi.org/10.1029/2007JA012395</v>
      </c>
      <c r="BG542" t="s">
        <v>74</v>
      </c>
      <c r="BH542" t="s">
        <v>74</v>
      </c>
      <c r="BI542">
        <v>12</v>
      </c>
      <c r="BJ542" t="s">
        <v>351</v>
      </c>
      <c r="BK542" t="s">
        <v>97</v>
      </c>
      <c r="BL542" t="s">
        <v>351</v>
      </c>
      <c r="BM542" t="s">
        <v>9181</v>
      </c>
      <c r="BN542" t="s">
        <v>74</v>
      </c>
      <c r="BO542" t="s">
        <v>9182</v>
      </c>
      <c r="BP542" t="s">
        <v>74</v>
      </c>
      <c r="BQ542" t="s">
        <v>74</v>
      </c>
      <c r="BR542" t="s">
        <v>100</v>
      </c>
      <c r="BS542" t="s">
        <v>9183</v>
      </c>
      <c r="BT542" t="str">
        <f>HYPERLINK("https%3A%2F%2Fwww.webofscience.com%2Fwos%2Fwoscc%2Ffull-record%2FWOS:000251528600003","View Full Record in Web of Science")</f>
        <v>View Full Record in Web of Science</v>
      </c>
    </row>
    <row r="543" spans="1:72" x14ac:dyDescent="0.15">
      <c r="A543" t="s">
        <v>72</v>
      </c>
      <c r="B543" t="s">
        <v>9184</v>
      </c>
      <c r="C543" t="s">
        <v>74</v>
      </c>
      <c r="D543" t="s">
        <v>74</v>
      </c>
      <c r="E543" t="s">
        <v>74</v>
      </c>
      <c r="F543" t="s">
        <v>9185</v>
      </c>
      <c r="G543" t="s">
        <v>74</v>
      </c>
      <c r="H543" t="s">
        <v>74</v>
      </c>
      <c r="I543" t="s">
        <v>9186</v>
      </c>
      <c r="J543" t="s">
        <v>233</v>
      </c>
      <c r="K543" t="s">
        <v>74</v>
      </c>
      <c r="L543" t="s">
        <v>74</v>
      </c>
      <c r="M543" t="s">
        <v>78</v>
      </c>
      <c r="N543" t="s">
        <v>79</v>
      </c>
      <c r="O543" t="s">
        <v>74</v>
      </c>
      <c r="P543" t="s">
        <v>74</v>
      </c>
      <c r="Q543" t="s">
        <v>74</v>
      </c>
      <c r="R543" t="s">
        <v>74</v>
      </c>
      <c r="S543" t="s">
        <v>74</v>
      </c>
      <c r="T543" t="s">
        <v>74</v>
      </c>
      <c r="U543" t="s">
        <v>9187</v>
      </c>
      <c r="V543" t="s">
        <v>9188</v>
      </c>
      <c r="W543" t="s">
        <v>9189</v>
      </c>
      <c r="X543" t="s">
        <v>9190</v>
      </c>
      <c r="Y543" t="s">
        <v>9191</v>
      </c>
      <c r="Z543" t="s">
        <v>9192</v>
      </c>
      <c r="AA543" t="s">
        <v>74</v>
      </c>
      <c r="AB543" t="s">
        <v>74</v>
      </c>
      <c r="AC543" t="s">
        <v>74</v>
      </c>
      <c r="AD543" t="s">
        <v>74</v>
      </c>
      <c r="AE543" t="s">
        <v>74</v>
      </c>
      <c r="AF543" t="s">
        <v>74</v>
      </c>
      <c r="AG543">
        <v>13</v>
      </c>
      <c r="AH543">
        <v>0</v>
      </c>
      <c r="AI543">
        <v>0</v>
      </c>
      <c r="AJ543">
        <v>0</v>
      </c>
      <c r="AK543">
        <v>3</v>
      </c>
      <c r="AL543" t="s">
        <v>193</v>
      </c>
      <c r="AM543" t="s">
        <v>194</v>
      </c>
      <c r="AN543" t="s">
        <v>195</v>
      </c>
      <c r="AO543" t="s">
        <v>243</v>
      </c>
      <c r="AP543" t="s">
        <v>326</v>
      </c>
      <c r="AQ543" t="s">
        <v>74</v>
      </c>
      <c r="AR543" t="s">
        <v>244</v>
      </c>
      <c r="AS543" t="s">
        <v>245</v>
      </c>
      <c r="AT543" t="s">
        <v>9193</v>
      </c>
      <c r="AU543">
        <v>2007</v>
      </c>
      <c r="AV543">
        <v>34</v>
      </c>
      <c r="AW543">
        <v>23</v>
      </c>
      <c r="AX543" t="s">
        <v>74</v>
      </c>
      <c r="AY543" t="s">
        <v>74</v>
      </c>
      <c r="AZ543" t="s">
        <v>74</v>
      </c>
      <c r="BA543" t="s">
        <v>74</v>
      </c>
      <c r="BB543" t="s">
        <v>74</v>
      </c>
      <c r="BC543" t="s">
        <v>74</v>
      </c>
      <c r="BD543" t="s">
        <v>9194</v>
      </c>
      <c r="BE543" t="s">
        <v>9195</v>
      </c>
      <c r="BF543" t="str">
        <f>HYPERLINK("http://dx.doi.org/10.1029/2007GL029586","http://dx.doi.org/10.1029/2007GL029586")</f>
        <v>http://dx.doi.org/10.1029/2007GL029586</v>
      </c>
      <c r="BG543" t="s">
        <v>74</v>
      </c>
      <c r="BH543" t="s">
        <v>74</v>
      </c>
      <c r="BI543">
        <v>4</v>
      </c>
      <c r="BJ543" t="s">
        <v>96</v>
      </c>
      <c r="BK543" t="s">
        <v>97</v>
      </c>
      <c r="BL543" t="s">
        <v>98</v>
      </c>
      <c r="BM543" t="s">
        <v>9196</v>
      </c>
      <c r="BN543" t="s">
        <v>74</v>
      </c>
      <c r="BO543" t="s">
        <v>74</v>
      </c>
      <c r="BP543" t="s">
        <v>74</v>
      </c>
      <c r="BQ543" t="s">
        <v>74</v>
      </c>
      <c r="BR543" t="s">
        <v>100</v>
      </c>
      <c r="BS543" t="s">
        <v>9197</v>
      </c>
      <c r="BT543" t="str">
        <f>HYPERLINK("https%3A%2F%2Fwww.webofscience.com%2Fwos%2Fwoscc%2Ffull-record%2FWOS:000251524600001","View Full Record in Web of Science")</f>
        <v>View Full Record in Web of Science</v>
      </c>
    </row>
    <row r="544" spans="1:72" x14ac:dyDescent="0.15">
      <c r="A544" t="s">
        <v>72</v>
      </c>
      <c r="B544" t="s">
        <v>9198</v>
      </c>
      <c r="C544" t="s">
        <v>74</v>
      </c>
      <c r="D544" t="s">
        <v>74</v>
      </c>
      <c r="E544" t="s">
        <v>74</v>
      </c>
      <c r="F544" t="s">
        <v>9199</v>
      </c>
      <c r="G544" t="s">
        <v>74</v>
      </c>
      <c r="H544" t="s">
        <v>74</v>
      </c>
      <c r="I544" t="s">
        <v>9200</v>
      </c>
      <c r="J544" t="s">
        <v>233</v>
      </c>
      <c r="K544" t="s">
        <v>74</v>
      </c>
      <c r="L544" t="s">
        <v>74</v>
      </c>
      <c r="M544" t="s">
        <v>78</v>
      </c>
      <c r="N544" t="s">
        <v>79</v>
      </c>
      <c r="O544" t="s">
        <v>74</v>
      </c>
      <c r="P544" t="s">
        <v>74</v>
      </c>
      <c r="Q544" t="s">
        <v>74</v>
      </c>
      <c r="R544" t="s">
        <v>74</v>
      </c>
      <c r="S544" t="s">
        <v>74</v>
      </c>
      <c r="T544" t="s">
        <v>74</v>
      </c>
      <c r="U544" t="s">
        <v>9201</v>
      </c>
      <c r="V544" t="s">
        <v>9202</v>
      </c>
      <c r="W544" t="s">
        <v>9203</v>
      </c>
      <c r="X544" t="s">
        <v>9204</v>
      </c>
      <c r="Y544" t="s">
        <v>9205</v>
      </c>
      <c r="Z544" t="s">
        <v>9206</v>
      </c>
      <c r="AA544" t="s">
        <v>9207</v>
      </c>
      <c r="AB544" t="s">
        <v>9208</v>
      </c>
      <c r="AC544" t="s">
        <v>9209</v>
      </c>
      <c r="AD544" t="s">
        <v>9210</v>
      </c>
      <c r="AE544" t="s">
        <v>74</v>
      </c>
      <c r="AF544" t="s">
        <v>74</v>
      </c>
      <c r="AG544">
        <v>21</v>
      </c>
      <c r="AH544">
        <v>29</v>
      </c>
      <c r="AI544">
        <v>31</v>
      </c>
      <c r="AJ544">
        <v>1</v>
      </c>
      <c r="AK544">
        <v>5</v>
      </c>
      <c r="AL544" t="s">
        <v>193</v>
      </c>
      <c r="AM544" t="s">
        <v>194</v>
      </c>
      <c r="AN544" t="s">
        <v>195</v>
      </c>
      <c r="AO544" t="s">
        <v>243</v>
      </c>
      <c r="AP544" t="s">
        <v>74</v>
      </c>
      <c r="AQ544" t="s">
        <v>74</v>
      </c>
      <c r="AR544" t="s">
        <v>244</v>
      </c>
      <c r="AS544" t="s">
        <v>245</v>
      </c>
      <c r="AT544" t="s">
        <v>9193</v>
      </c>
      <c r="AU544">
        <v>2007</v>
      </c>
      <c r="AV544">
        <v>34</v>
      </c>
      <c r="AW544">
        <v>23</v>
      </c>
      <c r="AX544" t="s">
        <v>74</v>
      </c>
      <c r="AY544" t="s">
        <v>74</v>
      </c>
      <c r="AZ544" t="s">
        <v>74</v>
      </c>
      <c r="BA544" t="s">
        <v>74</v>
      </c>
      <c r="BB544" t="s">
        <v>74</v>
      </c>
      <c r="BC544" t="s">
        <v>74</v>
      </c>
      <c r="BD544" t="s">
        <v>9211</v>
      </c>
      <c r="BE544" t="s">
        <v>9212</v>
      </c>
      <c r="BF544" t="str">
        <f>HYPERLINK("http://dx.doi.org/10.1029/2007GL031899","http://dx.doi.org/10.1029/2007GL031899")</f>
        <v>http://dx.doi.org/10.1029/2007GL031899</v>
      </c>
      <c r="BG544" t="s">
        <v>74</v>
      </c>
      <c r="BH544" t="s">
        <v>74</v>
      </c>
      <c r="BI544">
        <v>6</v>
      </c>
      <c r="BJ544" t="s">
        <v>96</v>
      </c>
      <c r="BK544" t="s">
        <v>97</v>
      </c>
      <c r="BL544" t="s">
        <v>98</v>
      </c>
      <c r="BM544" t="s">
        <v>9196</v>
      </c>
      <c r="BN544" t="s">
        <v>74</v>
      </c>
      <c r="BO544" t="s">
        <v>1838</v>
      </c>
      <c r="BP544" t="s">
        <v>74</v>
      </c>
      <c r="BQ544" t="s">
        <v>74</v>
      </c>
      <c r="BR544" t="s">
        <v>100</v>
      </c>
      <c r="BS544" t="s">
        <v>9213</v>
      </c>
      <c r="BT544" t="str">
        <f>HYPERLINK("https%3A%2F%2Fwww.webofscience.com%2Fwos%2Fwoscc%2Ffull-record%2FWOS:000251524600009","View Full Record in Web of Science")</f>
        <v>View Full Record in Web of Science</v>
      </c>
    </row>
    <row r="545" spans="1:72" x14ac:dyDescent="0.15">
      <c r="A545" t="s">
        <v>72</v>
      </c>
      <c r="B545" t="s">
        <v>9214</v>
      </c>
      <c r="C545" t="s">
        <v>74</v>
      </c>
      <c r="D545" t="s">
        <v>74</v>
      </c>
      <c r="E545" t="s">
        <v>74</v>
      </c>
      <c r="F545" t="s">
        <v>9215</v>
      </c>
      <c r="G545" t="s">
        <v>74</v>
      </c>
      <c r="H545" t="s">
        <v>74</v>
      </c>
      <c r="I545" t="s">
        <v>9216</v>
      </c>
      <c r="J545" t="s">
        <v>9217</v>
      </c>
      <c r="K545" t="s">
        <v>74</v>
      </c>
      <c r="L545" t="s">
        <v>74</v>
      </c>
      <c r="M545" t="s">
        <v>78</v>
      </c>
      <c r="N545" t="s">
        <v>79</v>
      </c>
      <c r="O545" t="s">
        <v>74</v>
      </c>
      <c r="P545" t="s">
        <v>74</v>
      </c>
      <c r="Q545" t="s">
        <v>74</v>
      </c>
      <c r="R545" t="s">
        <v>74</v>
      </c>
      <c r="S545" t="s">
        <v>74</v>
      </c>
      <c r="T545" t="s">
        <v>9218</v>
      </c>
      <c r="U545" t="s">
        <v>9219</v>
      </c>
      <c r="V545" t="s">
        <v>9220</v>
      </c>
      <c r="W545" t="s">
        <v>9221</v>
      </c>
      <c r="X545" t="s">
        <v>9222</v>
      </c>
      <c r="Y545" t="s">
        <v>9223</v>
      </c>
      <c r="Z545" t="s">
        <v>9224</v>
      </c>
      <c r="AA545" t="s">
        <v>74</v>
      </c>
      <c r="AB545" t="s">
        <v>9225</v>
      </c>
      <c r="AC545" t="s">
        <v>74</v>
      </c>
      <c r="AD545" t="s">
        <v>74</v>
      </c>
      <c r="AE545" t="s">
        <v>74</v>
      </c>
      <c r="AF545" t="s">
        <v>74</v>
      </c>
      <c r="AG545">
        <v>76</v>
      </c>
      <c r="AH545">
        <v>43</v>
      </c>
      <c r="AI545">
        <v>45</v>
      </c>
      <c r="AJ545">
        <v>0</v>
      </c>
      <c r="AK545">
        <v>11</v>
      </c>
      <c r="AL545" t="s">
        <v>265</v>
      </c>
      <c r="AM545" t="s">
        <v>266</v>
      </c>
      <c r="AN545" t="s">
        <v>267</v>
      </c>
      <c r="AO545" t="s">
        <v>9226</v>
      </c>
      <c r="AP545" t="s">
        <v>9227</v>
      </c>
      <c r="AQ545" t="s">
        <v>74</v>
      </c>
      <c r="AR545" t="s">
        <v>9228</v>
      </c>
      <c r="AS545" t="s">
        <v>9229</v>
      </c>
      <c r="AT545" t="s">
        <v>9193</v>
      </c>
      <c r="AU545">
        <v>2007</v>
      </c>
      <c r="AV545">
        <v>65</v>
      </c>
      <c r="AW545" t="s">
        <v>489</v>
      </c>
      <c r="AX545" t="s">
        <v>74</v>
      </c>
      <c r="AY545" t="s">
        <v>74</v>
      </c>
      <c r="AZ545" t="s">
        <v>74</v>
      </c>
      <c r="BA545" t="s">
        <v>74</v>
      </c>
      <c r="BB545">
        <v>185</v>
      </c>
      <c r="BC545">
        <v>212</v>
      </c>
      <c r="BD545" t="s">
        <v>74</v>
      </c>
      <c r="BE545" t="s">
        <v>9230</v>
      </c>
      <c r="BF545" t="str">
        <f>HYPERLINK("http://dx.doi.org/10.1016/j.marmicro.2007.07.002","http://dx.doi.org/10.1016/j.marmicro.2007.07.002")</f>
        <v>http://dx.doi.org/10.1016/j.marmicro.2007.07.002</v>
      </c>
      <c r="BG545" t="s">
        <v>74</v>
      </c>
      <c r="BH545" t="s">
        <v>74</v>
      </c>
      <c r="BI545">
        <v>28</v>
      </c>
      <c r="BJ545" t="s">
        <v>1426</v>
      </c>
      <c r="BK545" t="s">
        <v>97</v>
      </c>
      <c r="BL545" t="s">
        <v>1426</v>
      </c>
      <c r="BM545" t="s">
        <v>9231</v>
      </c>
      <c r="BN545" t="s">
        <v>74</v>
      </c>
      <c r="BO545" t="s">
        <v>74</v>
      </c>
      <c r="BP545" t="s">
        <v>74</v>
      </c>
      <c r="BQ545" t="s">
        <v>74</v>
      </c>
      <c r="BR545" t="s">
        <v>100</v>
      </c>
      <c r="BS545" t="s">
        <v>9232</v>
      </c>
      <c r="BT545" t="str">
        <f>HYPERLINK("https%3A%2F%2Fwww.webofscience.com%2Fwos%2Fwoscc%2Ffull-record%2FWOS:000251783000004","View Full Record in Web of Science")</f>
        <v>View Full Record in Web of Science</v>
      </c>
    </row>
    <row r="546" spans="1:72" x14ac:dyDescent="0.15">
      <c r="A546" t="s">
        <v>72</v>
      </c>
      <c r="B546" t="s">
        <v>9233</v>
      </c>
      <c r="C546" t="s">
        <v>74</v>
      </c>
      <c r="D546" t="s">
        <v>74</v>
      </c>
      <c r="E546" t="s">
        <v>74</v>
      </c>
      <c r="F546" t="s">
        <v>9234</v>
      </c>
      <c r="G546" t="s">
        <v>74</v>
      </c>
      <c r="H546" t="s">
        <v>74</v>
      </c>
      <c r="I546" t="s">
        <v>9235</v>
      </c>
      <c r="J546" t="s">
        <v>184</v>
      </c>
      <c r="K546" t="s">
        <v>74</v>
      </c>
      <c r="L546" t="s">
        <v>74</v>
      </c>
      <c r="M546" t="s">
        <v>78</v>
      </c>
      <c r="N546" t="s">
        <v>79</v>
      </c>
      <c r="O546" t="s">
        <v>74</v>
      </c>
      <c r="P546" t="s">
        <v>74</v>
      </c>
      <c r="Q546" t="s">
        <v>74</v>
      </c>
      <c r="R546" t="s">
        <v>74</v>
      </c>
      <c r="S546" t="s">
        <v>74</v>
      </c>
      <c r="T546" t="s">
        <v>74</v>
      </c>
      <c r="U546" t="s">
        <v>9236</v>
      </c>
      <c r="V546" t="s">
        <v>9237</v>
      </c>
      <c r="W546" t="s">
        <v>9238</v>
      </c>
      <c r="X546" t="s">
        <v>3236</v>
      </c>
      <c r="Y546" t="s">
        <v>9239</v>
      </c>
      <c r="Z546" t="s">
        <v>74</v>
      </c>
      <c r="AA546" t="s">
        <v>9240</v>
      </c>
      <c r="AB546" t="s">
        <v>9241</v>
      </c>
      <c r="AC546" t="s">
        <v>74</v>
      </c>
      <c r="AD546" t="s">
        <v>74</v>
      </c>
      <c r="AE546" t="s">
        <v>74</v>
      </c>
      <c r="AF546" t="s">
        <v>74</v>
      </c>
      <c r="AG546">
        <v>31</v>
      </c>
      <c r="AH546">
        <v>25</v>
      </c>
      <c r="AI546">
        <v>25</v>
      </c>
      <c r="AJ546">
        <v>0</v>
      </c>
      <c r="AK546">
        <v>10</v>
      </c>
      <c r="AL546" t="s">
        <v>193</v>
      </c>
      <c r="AM546" t="s">
        <v>194</v>
      </c>
      <c r="AN546" t="s">
        <v>195</v>
      </c>
      <c r="AO546" t="s">
        <v>196</v>
      </c>
      <c r="AP546" t="s">
        <v>74</v>
      </c>
      <c r="AQ546" t="s">
        <v>74</v>
      </c>
      <c r="AR546" t="s">
        <v>198</v>
      </c>
      <c r="AS546" t="s">
        <v>199</v>
      </c>
      <c r="AT546" t="s">
        <v>9242</v>
      </c>
      <c r="AU546">
        <v>2007</v>
      </c>
      <c r="AV546">
        <v>112</v>
      </c>
      <c r="AW546" t="s">
        <v>9162</v>
      </c>
      <c r="AX546" t="s">
        <v>74</v>
      </c>
      <c r="AY546" t="s">
        <v>74</v>
      </c>
      <c r="AZ546" t="s">
        <v>74</v>
      </c>
      <c r="BA546" t="s">
        <v>74</v>
      </c>
      <c r="BB546" t="s">
        <v>74</v>
      </c>
      <c r="BC546" t="s">
        <v>74</v>
      </c>
      <c r="BD546" t="s">
        <v>9243</v>
      </c>
      <c r="BE546" t="s">
        <v>9244</v>
      </c>
      <c r="BF546" t="str">
        <f>HYPERLINK("http://dx.doi.org/10.1029/2007JD008613","http://dx.doi.org/10.1029/2007JD008613")</f>
        <v>http://dx.doi.org/10.1029/2007JD008613</v>
      </c>
      <c r="BG546" t="s">
        <v>74</v>
      </c>
      <c r="BH546" t="s">
        <v>74</v>
      </c>
      <c r="BI546">
        <v>14</v>
      </c>
      <c r="BJ546" t="s">
        <v>204</v>
      </c>
      <c r="BK546" t="s">
        <v>97</v>
      </c>
      <c r="BL546" t="s">
        <v>204</v>
      </c>
      <c r="BM546" t="s">
        <v>9245</v>
      </c>
      <c r="BN546" t="s">
        <v>74</v>
      </c>
      <c r="BO546" t="s">
        <v>179</v>
      </c>
      <c r="BP546" t="s">
        <v>74</v>
      </c>
      <c r="BQ546" t="s">
        <v>74</v>
      </c>
      <c r="BR546" t="s">
        <v>100</v>
      </c>
      <c r="BS546" t="s">
        <v>9246</v>
      </c>
      <c r="BT546" t="str">
        <f>HYPERLINK("https%3A%2F%2Fwww.webofscience.com%2Fwos%2Fwoscc%2Ffull-record%2FWOS:000251525400002","View Full Record in Web of Science")</f>
        <v>View Full Record in Web of Science</v>
      </c>
    </row>
    <row r="547" spans="1:72" x14ac:dyDescent="0.15">
      <c r="A547" t="s">
        <v>72</v>
      </c>
      <c r="B547" t="s">
        <v>9247</v>
      </c>
      <c r="C547" t="s">
        <v>74</v>
      </c>
      <c r="D547" t="s">
        <v>74</v>
      </c>
      <c r="E547" t="s">
        <v>74</v>
      </c>
      <c r="F547" t="s">
        <v>9248</v>
      </c>
      <c r="G547" t="s">
        <v>74</v>
      </c>
      <c r="H547" t="s">
        <v>74</v>
      </c>
      <c r="I547" t="s">
        <v>9249</v>
      </c>
      <c r="J547" t="s">
        <v>9250</v>
      </c>
      <c r="K547" t="s">
        <v>74</v>
      </c>
      <c r="L547" t="s">
        <v>74</v>
      </c>
      <c r="M547" t="s">
        <v>78</v>
      </c>
      <c r="N547" t="s">
        <v>79</v>
      </c>
      <c r="O547" t="s">
        <v>74</v>
      </c>
      <c r="P547" t="s">
        <v>74</v>
      </c>
      <c r="Q547" t="s">
        <v>74</v>
      </c>
      <c r="R547" t="s">
        <v>74</v>
      </c>
      <c r="S547" t="s">
        <v>74</v>
      </c>
      <c r="T547" t="s">
        <v>9251</v>
      </c>
      <c r="U547" t="s">
        <v>9252</v>
      </c>
      <c r="V547" t="s">
        <v>9253</v>
      </c>
      <c r="W547" t="s">
        <v>9254</v>
      </c>
      <c r="X547" t="s">
        <v>9255</v>
      </c>
      <c r="Y547" t="s">
        <v>9256</v>
      </c>
      <c r="Z547" t="s">
        <v>9257</v>
      </c>
      <c r="AA547" t="s">
        <v>9258</v>
      </c>
      <c r="AB547" t="s">
        <v>9259</v>
      </c>
      <c r="AC547" t="s">
        <v>74</v>
      </c>
      <c r="AD547" t="s">
        <v>74</v>
      </c>
      <c r="AE547" t="s">
        <v>74</v>
      </c>
      <c r="AF547" t="s">
        <v>74</v>
      </c>
      <c r="AG547">
        <v>84</v>
      </c>
      <c r="AH547">
        <v>62</v>
      </c>
      <c r="AI547">
        <v>68</v>
      </c>
      <c r="AJ547">
        <v>1</v>
      </c>
      <c r="AK547">
        <v>10</v>
      </c>
      <c r="AL547" t="s">
        <v>9260</v>
      </c>
      <c r="AM547" t="s">
        <v>7601</v>
      </c>
      <c r="AN547" t="s">
        <v>9261</v>
      </c>
      <c r="AO547" t="s">
        <v>9262</v>
      </c>
      <c r="AP547" t="s">
        <v>9263</v>
      </c>
      <c r="AQ547" t="s">
        <v>74</v>
      </c>
      <c r="AR547" t="s">
        <v>9264</v>
      </c>
      <c r="AS547" t="s">
        <v>9265</v>
      </c>
      <c r="AT547" t="s">
        <v>9266</v>
      </c>
      <c r="AU547">
        <v>2007</v>
      </c>
      <c r="AV547">
        <v>52</v>
      </c>
      <c r="AW547">
        <v>4</v>
      </c>
      <c r="AX547" t="s">
        <v>74</v>
      </c>
      <c r="AY547" t="s">
        <v>74</v>
      </c>
      <c r="AZ547" t="s">
        <v>74</v>
      </c>
      <c r="BA547" t="s">
        <v>74</v>
      </c>
      <c r="BB547">
        <v>657</v>
      </c>
      <c r="BC547">
        <v>674</v>
      </c>
      <c r="BD547" t="s">
        <v>74</v>
      </c>
      <c r="BE547" t="s">
        <v>74</v>
      </c>
      <c r="BF547" t="s">
        <v>74</v>
      </c>
      <c r="BG547" t="s">
        <v>74</v>
      </c>
      <c r="BH547" t="s">
        <v>74</v>
      </c>
      <c r="BI547">
        <v>18</v>
      </c>
      <c r="BJ547" t="s">
        <v>1426</v>
      </c>
      <c r="BK547" t="s">
        <v>97</v>
      </c>
      <c r="BL547" t="s">
        <v>1426</v>
      </c>
      <c r="BM547" t="s">
        <v>9267</v>
      </c>
      <c r="BN547" t="s">
        <v>74</v>
      </c>
      <c r="BO547" t="s">
        <v>74</v>
      </c>
      <c r="BP547" t="s">
        <v>74</v>
      </c>
      <c r="BQ547" t="s">
        <v>74</v>
      </c>
      <c r="BR547" t="s">
        <v>100</v>
      </c>
      <c r="BS547" t="s">
        <v>9268</v>
      </c>
      <c r="BT547" t="str">
        <f>HYPERLINK("https%3A%2F%2Fwww.webofscience.com%2Fwos%2Fwoscc%2Ffull-record%2FWOS:000252068800001","View Full Record in Web of Science")</f>
        <v>View Full Record in Web of Science</v>
      </c>
    </row>
    <row r="548" spans="1:72" x14ac:dyDescent="0.15">
      <c r="A548" t="s">
        <v>72</v>
      </c>
      <c r="B548" t="s">
        <v>9269</v>
      </c>
      <c r="C548" t="s">
        <v>74</v>
      </c>
      <c r="D548" t="s">
        <v>74</v>
      </c>
      <c r="E548" t="s">
        <v>74</v>
      </c>
      <c r="F548" t="s">
        <v>9270</v>
      </c>
      <c r="G548" t="s">
        <v>74</v>
      </c>
      <c r="H548" t="s">
        <v>74</v>
      </c>
      <c r="I548" t="s">
        <v>9271</v>
      </c>
      <c r="J548" t="s">
        <v>1499</v>
      </c>
      <c r="K548" t="s">
        <v>74</v>
      </c>
      <c r="L548" t="s">
        <v>74</v>
      </c>
      <c r="M548" t="s">
        <v>78</v>
      </c>
      <c r="N548" t="s">
        <v>79</v>
      </c>
      <c r="O548" t="s">
        <v>74</v>
      </c>
      <c r="P548" t="s">
        <v>74</v>
      </c>
      <c r="Q548" t="s">
        <v>74</v>
      </c>
      <c r="R548" t="s">
        <v>74</v>
      </c>
      <c r="S548" t="s">
        <v>74</v>
      </c>
      <c r="T548" t="s">
        <v>9272</v>
      </c>
      <c r="U548" t="s">
        <v>9273</v>
      </c>
      <c r="V548" t="s">
        <v>9274</v>
      </c>
      <c r="W548" t="s">
        <v>9275</v>
      </c>
      <c r="X548" t="s">
        <v>9276</v>
      </c>
      <c r="Y548" t="s">
        <v>9277</v>
      </c>
      <c r="Z548" t="s">
        <v>9278</v>
      </c>
      <c r="AA548" t="s">
        <v>9279</v>
      </c>
      <c r="AB548" t="s">
        <v>9280</v>
      </c>
      <c r="AC548" t="s">
        <v>74</v>
      </c>
      <c r="AD548" t="s">
        <v>74</v>
      </c>
      <c r="AE548" t="s">
        <v>74</v>
      </c>
      <c r="AF548" t="s">
        <v>74</v>
      </c>
      <c r="AG548">
        <v>38</v>
      </c>
      <c r="AH548">
        <v>23</v>
      </c>
      <c r="AI548">
        <v>25</v>
      </c>
      <c r="AJ548">
        <v>3</v>
      </c>
      <c r="AK548">
        <v>62</v>
      </c>
      <c r="AL548" t="s">
        <v>9281</v>
      </c>
      <c r="AM548" t="s">
        <v>118</v>
      </c>
      <c r="AN548" t="s">
        <v>1509</v>
      </c>
      <c r="AO548" t="s">
        <v>1510</v>
      </c>
      <c r="AP548" t="s">
        <v>9282</v>
      </c>
      <c r="AQ548" t="s">
        <v>74</v>
      </c>
      <c r="AR548" t="s">
        <v>1511</v>
      </c>
      <c r="AS548" t="s">
        <v>1512</v>
      </c>
      <c r="AT548" t="s">
        <v>9266</v>
      </c>
      <c r="AU548">
        <v>2007</v>
      </c>
      <c r="AV548">
        <v>74</v>
      </c>
      <c r="AW548" t="s">
        <v>74</v>
      </c>
      <c r="AX548">
        <v>6</v>
      </c>
      <c r="AY548" t="s">
        <v>74</v>
      </c>
      <c r="AZ548" t="s">
        <v>74</v>
      </c>
      <c r="BA548" t="s">
        <v>74</v>
      </c>
      <c r="BB548">
        <v>1691</v>
      </c>
      <c r="BC548">
        <v>1696</v>
      </c>
      <c r="BD548" t="s">
        <v>74</v>
      </c>
      <c r="BE548" t="s">
        <v>9283</v>
      </c>
      <c r="BF548" t="str">
        <f>HYPERLINK("http://dx.doi.org/10.1016/j.anbehav.2007.03.017","http://dx.doi.org/10.1016/j.anbehav.2007.03.017")</f>
        <v>http://dx.doi.org/10.1016/j.anbehav.2007.03.017</v>
      </c>
      <c r="BG548" t="s">
        <v>74</v>
      </c>
      <c r="BH548" t="s">
        <v>74</v>
      </c>
      <c r="BI548">
        <v>6</v>
      </c>
      <c r="BJ548" t="s">
        <v>1516</v>
      </c>
      <c r="BK548" t="s">
        <v>97</v>
      </c>
      <c r="BL548" t="s">
        <v>1516</v>
      </c>
      <c r="BM548" t="s">
        <v>9284</v>
      </c>
      <c r="BN548" t="s">
        <v>74</v>
      </c>
      <c r="BO548" t="s">
        <v>74</v>
      </c>
      <c r="BP548" t="s">
        <v>74</v>
      </c>
      <c r="BQ548" t="s">
        <v>74</v>
      </c>
      <c r="BR548" t="s">
        <v>100</v>
      </c>
      <c r="BS548" t="s">
        <v>9285</v>
      </c>
      <c r="BT548" t="str">
        <f>HYPERLINK("https%3A%2F%2Fwww.webofscience.com%2Fwos%2Fwoscc%2Ffull-record%2FWOS:000252007200011","View Full Record in Web of Science")</f>
        <v>View Full Record in Web of Science</v>
      </c>
    </row>
    <row r="549" spans="1:72" x14ac:dyDescent="0.15">
      <c r="A549" t="s">
        <v>72</v>
      </c>
      <c r="B549" t="s">
        <v>9286</v>
      </c>
      <c r="C549" t="s">
        <v>74</v>
      </c>
      <c r="D549" t="s">
        <v>74</v>
      </c>
      <c r="E549" t="s">
        <v>74</v>
      </c>
      <c r="F549" t="s">
        <v>9287</v>
      </c>
      <c r="G549" t="s">
        <v>74</v>
      </c>
      <c r="H549" t="s">
        <v>74</v>
      </c>
      <c r="I549" t="s">
        <v>9288</v>
      </c>
      <c r="J549" t="s">
        <v>9289</v>
      </c>
      <c r="K549" t="s">
        <v>74</v>
      </c>
      <c r="L549" t="s">
        <v>74</v>
      </c>
      <c r="M549" t="s">
        <v>78</v>
      </c>
      <c r="N549" t="s">
        <v>79</v>
      </c>
      <c r="O549" t="s">
        <v>74</v>
      </c>
      <c r="P549" t="s">
        <v>74</v>
      </c>
      <c r="Q549" t="s">
        <v>74</v>
      </c>
      <c r="R549" t="s">
        <v>74</v>
      </c>
      <c r="S549" t="s">
        <v>74</v>
      </c>
      <c r="T549" t="s">
        <v>9290</v>
      </c>
      <c r="U549" t="s">
        <v>9291</v>
      </c>
      <c r="V549" t="s">
        <v>9292</v>
      </c>
      <c r="W549" t="s">
        <v>9293</v>
      </c>
      <c r="X549" t="s">
        <v>9294</v>
      </c>
      <c r="Y549" t="s">
        <v>9295</v>
      </c>
      <c r="Z549" t="s">
        <v>9296</v>
      </c>
      <c r="AA549" t="s">
        <v>74</v>
      </c>
      <c r="AB549" t="s">
        <v>9297</v>
      </c>
      <c r="AC549" t="s">
        <v>9298</v>
      </c>
      <c r="AD549" t="s">
        <v>9299</v>
      </c>
      <c r="AE549" t="s">
        <v>9300</v>
      </c>
      <c r="AF549" t="s">
        <v>74</v>
      </c>
      <c r="AG549">
        <v>68</v>
      </c>
      <c r="AH549">
        <v>37</v>
      </c>
      <c r="AI549">
        <v>37</v>
      </c>
      <c r="AJ549">
        <v>1</v>
      </c>
      <c r="AK549">
        <v>5</v>
      </c>
      <c r="AL549" t="s">
        <v>9301</v>
      </c>
      <c r="AM549" t="s">
        <v>9302</v>
      </c>
      <c r="AN549" t="s">
        <v>9303</v>
      </c>
      <c r="AO549" t="s">
        <v>9304</v>
      </c>
      <c r="AP549" t="s">
        <v>9305</v>
      </c>
      <c r="AQ549" t="s">
        <v>74</v>
      </c>
      <c r="AR549" t="s">
        <v>9306</v>
      </c>
      <c r="AS549" t="s">
        <v>1558</v>
      </c>
      <c r="AT549" t="s">
        <v>9266</v>
      </c>
      <c r="AU549">
        <v>2007</v>
      </c>
      <c r="AV549">
        <v>50</v>
      </c>
      <c r="AW549">
        <v>6</v>
      </c>
      <c r="AX549" t="s">
        <v>74</v>
      </c>
      <c r="AY549" t="s">
        <v>74</v>
      </c>
      <c r="AZ549" t="s">
        <v>74</v>
      </c>
      <c r="BA549" t="s">
        <v>74</v>
      </c>
      <c r="BB549">
        <v>741</v>
      </c>
      <c r="BC549">
        <v>761</v>
      </c>
      <c r="BD549" t="s">
        <v>74</v>
      </c>
      <c r="BE549" t="s">
        <v>74</v>
      </c>
      <c r="BF549" t="s">
        <v>74</v>
      </c>
      <c r="BG549" t="s">
        <v>74</v>
      </c>
      <c r="BH549" t="s">
        <v>74</v>
      </c>
      <c r="BI549">
        <v>21</v>
      </c>
      <c r="BJ549" t="s">
        <v>553</v>
      </c>
      <c r="BK549" t="s">
        <v>97</v>
      </c>
      <c r="BL549" t="s">
        <v>553</v>
      </c>
      <c r="BM549" t="s">
        <v>9307</v>
      </c>
      <c r="BN549" t="s">
        <v>74</v>
      </c>
      <c r="BO549" t="s">
        <v>74</v>
      </c>
      <c r="BP549" t="s">
        <v>74</v>
      </c>
      <c r="BQ549" t="s">
        <v>74</v>
      </c>
      <c r="BR549" t="s">
        <v>100</v>
      </c>
      <c r="BS549" t="s">
        <v>9308</v>
      </c>
      <c r="BT549" t="str">
        <f>HYPERLINK("https%3A%2F%2Fwww.webofscience.com%2Fwos%2Fwoscc%2Ffull-record%2FWOS:000261442100004","View Full Record in Web of Science")</f>
        <v>View Full Record in Web of Science</v>
      </c>
    </row>
    <row r="550" spans="1:72" x14ac:dyDescent="0.15">
      <c r="A550" t="s">
        <v>72</v>
      </c>
      <c r="B550" t="s">
        <v>9309</v>
      </c>
      <c r="C550" t="s">
        <v>74</v>
      </c>
      <c r="D550" t="s">
        <v>74</v>
      </c>
      <c r="E550" t="s">
        <v>74</v>
      </c>
      <c r="F550" t="s">
        <v>9310</v>
      </c>
      <c r="G550" t="s">
        <v>74</v>
      </c>
      <c r="H550" t="s">
        <v>74</v>
      </c>
      <c r="I550" t="s">
        <v>9311</v>
      </c>
      <c r="J550" t="s">
        <v>9312</v>
      </c>
      <c r="K550" t="s">
        <v>74</v>
      </c>
      <c r="L550" t="s">
        <v>74</v>
      </c>
      <c r="M550" t="s">
        <v>78</v>
      </c>
      <c r="N550" t="s">
        <v>438</v>
      </c>
      <c r="O550" t="s">
        <v>74</v>
      </c>
      <c r="P550" t="s">
        <v>74</v>
      </c>
      <c r="Q550" t="s">
        <v>74</v>
      </c>
      <c r="R550" t="s">
        <v>74</v>
      </c>
      <c r="S550" t="s">
        <v>74</v>
      </c>
      <c r="T550" t="s">
        <v>74</v>
      </c>
      <c r="U550" t="s">
        <v>74</v>
      </c>
      <c r="V550" t="s">
        <v>74</v>
      </c>
      <c r="W550" t="s">
        <v>74</v>
      </c>
      <c r="X550" t="s">
        <v>74</v>
      </c>
      <c r="Y550" t="s">
        <v>74</v>
      </c>
      <c r="Z550" t="s">
        <v>74</v>
      </c>
      <c r="AA550" t="s">
        <v>74</v>
      </c>
      <c r="AB550" t="s">
        <v>74</v>
      </c>
      <c r="AC550" t="s">
        <v>74</v>
      </c>
      <c r="AD550" t="s">
        <v>74</v>
      </c>
      <c r="AE550" t="s">
        <v>74</v>
      </c>
      <c r="AF550" t="s">
        <v>74</v>
      </c>
      <c r="AG550">
        <v>1</v>
      </c>
      <c r="AH550">
        <v>1</v>
      </c>
      <c r="AI550">
        <v>1</v>
      </c>
      <c r="AJ550">
        <v>0</v>
      </c>
      <c r="AK550">
        <v>2</v>
      </c>
      <c r="AL550" t="s">
        <v>2556</v>
      </c>
      <c r="AM550" t="s">
        <v>662</v>
      </c>
      <c r="AN550" t="s">
        <v>4911</v>
      </c>
      <c r="AO550" t="s">
        <v>9313</v>
      </c>
      <c r="AP550" t="s">
        <v>9314</v>
      </c>
      <c r="AQ550" t="s">
        <v>74</v>
      </c>
      <c r="AR550" t="s">
        <v>9315</v>
      </c>
      <c r="AS550" t="s">
        <v>9316</v>
      </c>
      <c r="AT550" t="s">
        <v>9266</v>
      </c>
      <c r="AU550">
        <v>2007</v>
      </c>
      <c r="AV550">
        <v>19</v>
      </c>
      <c r="AW550">
        <v>4</v>
      </c>
      <c r="AX550" t="s">
        <v>74</v>
      </c>
      <c r="AY550" t="s">
        <v>74</v>
      </c>
      <c r="AZ550" t="s">
        <v>74</v>
      </c>
      <c r="BA550" t="s">
        <v>74</v>
      </c>
      <c r="BB550">
        <v>409</v>
      </c>
      <c r="BC550">
        <v>409</v>
      </c>
      <c r="BD550" t="s">
        <v>74</v>
      </c>
      <c r="BE550" t="s">
        <v>9317</v>
      </c>
      <c r="BF550" t="str">
        <f>HYPERLINK("http://dx.doi.org/10.1017/S0954102007000740","http://dx.doi.org/10.1017/S0954102007000740")</f>
        <v>http://dx.doi.org/10.1017/S0954102007000740</v>
      </c>
      <c r="BG550" t="s">
        <v>74</v>
      </c>
      <c r="BH550" t="s">
        <v>74</v>
      </c>
      <c r="BI550">
        <v>1</v>
      </c>
      <c r="BJ550" t="s">
        <v>9318</v>
      </c>
      <c r="BK550" t="s">
        <v>97</v>
      </c>
      <c r="BL550" t="s">
        <v>9319</v>
      </c>
      <c r="BM550" t="s">
        <v>9320</v>
      </c>
      <c r="BN550" t="s">
        <v>74</v>
      </c>
      <c r="BO550" t="s">
        <v>179</v>
      </c>
      <c r="BP550" t="s">
        <v>74</v>
      </c>
      <c r="BQ550" t="s">
        <v>74</v>
      </c>
      <c r="BR550" t="s">
        <v>100</v>
      </c>
      <c r="BS550" t="s">
        <v>9321</v>
      </c>
      <c r="BT550" t="str">
        <f>HYPERLINK("https%3A%2F%2Fwww.webofscience.com%2Fwos%2Fwoscc%2Ffull-record%2FWOS:000251823700001","View Full Record in Web of Science")</f>
        <v>View Full Record in Web of Science</v>
      </c>
    </row>
    <row r="551" spans="1:72" x14ac:dyDescent="0.15">
      <c r="A551" t="s">
        <v>72</v>
      </c>
      <c r="B551" t="s">
        <v>9322</v>
      </c>
      <c r="C551" t="s">
        <v>74</v>
      </c>
      <c r="D551" t="s">
        <v>74</v>
      </c>
      <c r="E551" t="s">
        <v>74</v>
      </c>
      <c r="F551" t="s">
        <v>9323</v>
      </c>
      <c r="G551" t="s">
        <v>74</v>
      </c>
      <c r="H551" t="s">
        <v>74</v>
      </c>
      <c r="I551" t="s">
        <v>9324</v>
      </c>
      <c r="J551" t="s">
        <v>9312</v>
      </c>
      <c r="K551" t="s">
        <v>74</v>
      </c>
      <c r="L551" t="s">
        <v>74</v>
      </c>
      <c r="M551" t="s">
        <v>78</v>
      </c>
      <c r="N551" t="s">
        <v>438</v>
      </c>
      <c r="O551" t="s">
        <v>74</v>
      </c>
      <c r="P551" t="s">
        <v>74</v>
      </c>
      <c r="Q551" t="s">
        <v>74</v>
      </c>
      <c r="R551" t="s">
        <v>74</v>
      </c>
      <c r="S551" t="s">
        <v>74</v>
      </c>
      <c r="T551" t="s">
        <v>74</v>
      </c>
      <c r="U551" t="s">
        <v>74</v>
      </c>
      <c r="V551" t="s">
        <v>74</v>
      </c>
      <c r="W551" t="s">
        <v>74</v>
      </c>
      <c r="X551" t="s">
        <v>74</v>
      </c>
      <c r="Y551" t="s">
        <v>74</v>
      </c>
      <c r="Z551" t="s">
        <v>74</v>
      </c>
      <c r="AA551" t="s">
        <v>9325</v>
      </c>
      <c r="AB551" t="s">
        <v>9326</v>
      </c>
      <c r="AC551" t="s">
        <v>74</v>
      </c>
      <c r="AD551" t="s">
        <v>74</v>
      </c>
      <c r="AE551" t="s">
        <v>74</v>
      </c>
      <c r="AF551" t="s">
        <v>74</v>
      </c>
      <c r="AG551">
        <v>0</v>
      </c>
      <c r="AH551">
        <v>0</v>
      </c>
      <c r="AI551">
        <v>0</v>
      </c>
      <c r="AJ551">
        <v>0</v>
      </c>
      <c r="AK551">
        <v>0</v>
      </c>
      <c r="AL551" t="s">
        <v>2556</v>
      </c>
      <c r="AM551" t="s">
        <v>662</v>
      </c>
      <c r="AN551" t="s">
        <v>4911</v>
      </c>
      <c r="AO551" t="s">
        <v>9313</v>
      </c>
      <c r="AP551" t="s">
        <v>9314</v>
      </c>
      <c r="AQ551" t="s">
        <v>74</v>
      </c>
      <c r="AR551" t="s">
        <v>9315</v>
      </c>
      <c r="AS551" t="s">
        <v>9316</v>
      </c>
      <c r="AT551" t="s">
        <v>9266</v>
      </c>
      <c r="AU551">
        <v>2007</v>
      </c>
      <c r="AV551">
        <v>19</v>
      </c>
      <c r="AW551">
        <v>4</v>
      </c>
      <c r="AX551" t="s">
        <v>74</v>
      </c>
      <c r="AY551" t="s">
        <v>74</v>
      </c>
      <c r="AZ551" t="s">
        <v>74</v>
      </c>
      <c r="BA551" t="s">
        <v>74</v>
      </c>
      <c r="BB551">
        <v>410</v>
      </c>
      <c r="BC551">
        <v>410</v>
      </c>
      <c r="BD551" t="s">
        <v>74</v>
      </c>
      <c r="BE551" t="s">
        <v>74</v>
      </c>
      <c r="BF551" t="s">
        <v>74</v>
      </c>
      <c r="BG551" t="s">
        <v>74</v>
      </c>
      <c r="BH551" t="s">
        <v>74</v>
      </c>
      <c r="BI551">
        <v>1</v>
      </c>
      <c r="BJ551" t="s">
        <v>9318</v>
      </c>
      <c r="BK551" t="s">
        <v>97</v>
      </c>
      <c r="BL551" t="s">
        <v>9319</v>
      </c>
      <c r="BM551" t="s">
        <v>9320</v>
      </c>
      <c r="BN551" t="s">
        <v>74</v>
      </c>
      <c r="BO551" t="s">
        <v>74</v>
      </c>
      <c r="BP551" t="s">
        <v>74</v>
      </c>
      <c r="BQ551" t="s">
        <v>74</v>
      </c>
      <c r="BR551" t="s">
        <v>100</v>
      </c>
      <c r="BS551" t="s">
        <v>9327</v>
      </c>
      <c r="BT551" t="str">
        <f>HYPERLINK("https%3A%2F%2Fwww.webofscience.com%2Fwos%2Fwoscc%2Ffull-record%2FWOS:000251823700002","View Full Record in Web of Science")</f>
        <v>View Full Record in Web of Science</v>
      </c>
    </row>
    <row r="552" spans="1:72" x14ac:dyDescent="0.15">
      <c r="A552" t="s">
        <v>72</v>
      </c>
      <c r="B552" t="s">
        <v>9328</v>
      </c>
      <c r="C552" t="s">
        <v>74</v>
      </c>
      <c r="D552" t="s">
        <v>74</v>
      </c>
      <c r="E552" t="s">
        <v>74</v>
      </c>
      <c r="F552" t="s">
        <v>9329</v>
      </c>
      <c r="G552" t="s">
        <v>74</v>
      </c>
      <c r="H552" t="s">
        <v>74</v>
      </c>
      <c r="I552" t="s">
        <v>9324</v>
      </c>
      <c r="J552" t="s">
        <v>9312</v>
      </c>
      <c r="K552" t="s">
        <v>74</v>
      </c>
      <c r="L552" t="s">
        <v>74</v>
      </c>
      <c r="M552" t="s">
        <v>78</v>
      </c>
      <c r="N552" t="s">
        <v>438</v>
      </c>
      <c r="O552" t="s">
        <v>74</v>
      </c>
      <c r="P552" t="s">
        <v>74</v>
      </c>
      <c r="Q552" t="s">
        <v>74</v>
      </c>
      <c r="R552" t="s">
        <v>74</v>
      </c>
      <c r="S552" t="s">
        <v>74</v>
      </c>
      <c r="T552" t="s">
        <v>74</v>
      </c>
      <c r="U552" t="s">
        <v>74</v>
      </c>
      <c r="V552" t="s">
        <v>74</v>
      </c>
      <c r="W552" t="s">
        <v>74</v>
      </c>
      <c r="X552" t="s">
        <v>74</v>
      </c>
      <c r="Y552" t="s">
        <v>74</v>
      </c>
      <c r="Z552" t="s">
        <v>74</v>
      </c>
      <c r="AA552" t="s">
        <v>9325</v>
      </c>
      <c r="AB552" t="s">
        <v>9326</v>
      </c>
      <c r="AC552" t="s">
        <v>74</v>
      </c>
      <c r="AD552" t="s">
        <v>74</v>
      </c>
      <c r="AE552" t="s">
        <v>74</v>
      </c>
      <c r="AF552" t="s">
        <v>74</v>
      </c>
      <c r="AG552">
        <v>0</v>
      </c>
      <c r="AH552">
        <v>0</v>
      </c>
      <c r="AI552">
        <v>0</v>
      </c>
      <c r="AJ552">
        <v>0</v>
      </c>
      <c r="AK552">
        <v>0</v>
      </c>
      <c r="AL552" t="s">
        <v>2556</v>
      </c>
      <c r="AM552" t="s">
        <v>662</v>
      </c>
      <c r="AN552" t="s">
        <v>4911</v>
      </c>
      <c r="AO552" t="s">
        <v>9313</v>
      </c>
      <c r="AP552" t="s">
        <v>9314</v>
      </c>
      <c r="AQ552" t="s">
        <v>74</v>
      </c>
      <c r="AR552" t="s">
        <v>9315</v>
      </c>
      <c r="AS552" t="s">
        <v>9316</v>
      </c>
      <c r="AT552" t="s">
        <v>9266</v>
      </c>
      <c r="AU552">
        <v>2007</v>
      </c>
      <c r="AV552">
        <v>19</v>
      </c>
      <c r="AW552">
        <v>4</v>
      </c>
      <c r="AX552" t="s">
        <v>74</v>
      </c>
      <c r="AY552" t="s">
        <v>74</v>
      </c>
      <c r="AZ552" t="s">
        <v>74</v>
      </c>
      <c r="BA552" t="s">
        <v>74</v>
      </c>
      <c r="BB552">
        <v>410</v>
      </c>
      <c r="BC552">
        <v>410</v>
      </c>
      <c r="BD552" t="s">
        <v>74</v>
      </c>
      <c r="BE552" t="s">
        <v>74</v>
      </c>
      <c r="BF552" t="s">
        <v>74</v>
      </c>
      <c r="BG552" t="s">
        <v>74</v>
      </c>
      <c r="BH552" t="s">
        <v>74</v>
      </c>
      <c r="BI552">
        <v>1</v>
      </c>
      <c r="BJ552" t="s">
        <v>9318</v>
      </c>
      <c r="BK552" t="s">
        <v>97</v>
      </c>
      <c r="BL552" t="s">
        <v>9319</v>
      </c>
      <c r="BM552" t="s">
        <v>9320</v>
      </c>
      <c r="BN552" t="s">
        <v>74</v>
      </c>
      <c r="BO552" t="s">
        <v>74</v>
      </c>
      <c r="BP552" t="s">
        <v>74</v>
      </c>
      <c r="BQ552" t="s">
        <v>74</v>
      </c>
      <c r="BR552" t="s">
        <v>100</v>
      </c>
      <c r="BS552" t="s">
        <v>9330</v>
      </c>
      <c r="BT552" t="str">
        <f>HYPERLINK("https%3A%2F%2Fwww.webofscience.com%2Fwos%2Fwoscc%2Ffull-record%2FWOS:000251823700003","View Full Record in Web of Science")</f>
        <v>View Full Record in Web of Science</v>
      </c>
    </row>
    <row r="553" spans="1:72" x14ac:dyDescent="0.15">
      <c r="A553" t="s">
        <v>72</v>
      </c>
      <c r="B553" t="s">
        <v>9331</v>
      </c>
      <c r="C553" t="s">
        <v>74</v>
      </c>
      <c r="D553" t="s">
        <v>74</v>
      </c>
      <c r="E553" t="s">
        <v>74</v>
      </c>
      <c r="F553" t="s">
        <v>9332</v>
      </c>
      <c r="G553" t="s">
        <v>74</v>
      </c>
      <c r="H553" t="s">
        <v>74</v>
      </c>
      <c r="I553" t="s">
        <v>9333</v>
      </c>
      <c r="J553" t="s">
        <v>9312</v>
      </c>
      <c r="K553" t="s">
        <v>74</v>
      </c>
      <c r="L553" t="s">
        <v>74</v>
      </c>
      <c r="M553" t="s">
        <v>78</v>
      </c>
      <c r="N553" t="s">
        <v>79</v>
      </c>
      <c r="O553" t="s">
        <v>74</v>
      </c>
      <c r="P553" t="s">
        <v>74</v>
      </c>
      <c r="Q553" t="s">
        <v>74</v>
      </c>
      <c r="R553" t="s">
        <v>74</v>
      </c>
      <c r="S553" t="s">
        <v>74</v>
      </c>
      <c r="T553" t="s">
        <v>9334</v>
      </c>
      <c r="U553" t="s">
        <v>9335</v>
      </c>
      <c r="V553" t="s">
        <v>9336</v>
      </c>
      <c r="W553" t="s">
        <v>9337</v>
      </c>
      <c r="X553" t="s">
        <v>9338</v>
      </c>
      <c r="Y553" t="s">
        <v>9339</v>
      </c>
      <c r="Z553" t="s">
        <v>9340</v>
      </c>
      <c r="AA553" t="s">
        <v>74</v>
      </c>
      <c r="AB553" t="s">
        <v>74</v>
      </c>
      <c r="AC553" t="s">
        <v>74</v>
      </c>
      <c r="AD553" t="s">
        <v>74</v>
      </c>
      <c r="AE553" t="s">
        <v>74</v>
      </c>
      <c r="AF553" t="s">
        <v>74</v>
      </c>
      <c r="AG553">
        <v>21</v>
      </c>
      <c r="AH553">
        <v>3</v>
      </c>
      <c r="AI553">
        <v>3</v>
      </c>
      <c r="AJ553">
        <v>1</v>
      </c>
      <c r="AK553">
        <v>20</v>
      </c>
      <c r="AL553" t="s">
        <v>2556</v>
      </c>
      <c r="AM553" t="s">
        <v>662</v>
      </c>
      <c r="AN553" t="s">
        <v>4911</v>
      </c>
      <c r="AO553" t="s">
        <v>9313</v>
      </c>
      <c r="AP553" t="s">
        <v>74</v>
      </c>
      <c r="AQ553" t="s">
        <v>74</v>
      </c>
      <c r="AR553" t="s">
        <v>9315</v>
      </c>
      <c r="AS553" t="s">
        <v>9316</v>
      </c>
      <c r="AT553" t="s">
        <v>9266</v>
      </c>
      <c r="AU553">
        <v>2007</v>
      </c>
      <c r="AV553">
        <v>19</v>
      </c>
      <c r="AW553">
        <v>4</v>
      </c>
      <c r="AX553" t="s">
        <v>74</v>
      </c>
      <c r="AY553" t="s">
        <v>74</v>
      </c>
      <c r="AZ553" t="s">
        <v>74</v>
      </c>
      <c r="BA553" t="s">
        <v>74</v>
      </c>
      <c r="BB553">
        <v>411</v>
      </c>
      <c r="BC553">
        <v>416</v>
      </c>
      <c r="BD553" t="s">
        <v>74</v>
      </c>
      <c r="BE553" t="s">
        <v>9341</v>
      </c>
      <c r="BF553" t="str">
        <f>HYPERLINK("http://dx.doi.org/10.1017/S0954102007000570","http://dx.doi.org/10.1017/S0954102007000570")</f>
        <v>http://dx.doi.org/10.1017/S0954102007000570</v>
      </c>
      <c r="BG553" t="s">
        <v>74</v>
      </c>
      <c r="BH553" t="s">
        <v>74</v>
      </c>
      <c r="BI553">
        <v>6</v>
      </c>
      <c r="BJ553" t="s">
        <v>9318</v>
      </c>
      <c r="BK553" t="s">
        <v>97</v>
      </c>
      <c r="BL553" t="s">
        <v>9319</v>
      </c>
      <c r="BM553" t="s">
        <v>9320</v>
      </c>
      <c r="BN553" t="s">
        <v>74</v>
      </c>
      <c r="BO553" t="s">
        <v>74</v>
      </c>
      <c r="BP553" t="s">
        <v>74</v>
      </c>
      <c r="BQ553" t="s">
        <v>74</v>
      </c>
      <c r="BR553" t="s">
        <v>100</v>
      </c>
      <c r="BS553" t="s">
        <v>9342</v>
      </c>
      <c r="BT553" t="str">
        <f>HYPERLINK("https%3A%2F%2Fwww.webofscience.com%2Fwos%2Fwoscc%2Ffull-record%2FWOS:000251823700004","View Full Record in Web of Science")</f>
        <v>View Full Record in Web of Science</v>
      </c>
    </row>
    <row r="554" spans="1:72" x14ac:dyDescent="0.15">
      <c r="A554" t="s">
        <v>72</v>
      </c>
      <c r="B554" t="s">
        <v>9343</v>
      </c>
      <c r="C554" t="s">
        <v>74</v>
      </c>
      <c r="D554" t="s">
        <v>74</v>
      </c>
      <c r="E554" t="s">
        <v>74</v>
      </c>
      <c r="F554" t="s">
        <v>9344</v>
      </c>
      <c r="G554" t="s">
        <v>74</v>
      </c>
      <c r="H554" t="s">
        <v>74</v>
      </c>
      <c r="I554" t="s">
        <v>9345</v>
      </c>
      <c r="J554" t="s">
        <v>9312</v>
      </c>
      <c r="K554" t="s">
        <v>74</v>
      </c>
      <c r="L554" t="s">
        <v>74</v>
      </c>
      <c r="M554" t="s">
        <v>78</v>
      </c>
      <c r="N554" t="s">
        <v>79</v>
      </c>
      <c r="O554" t="s">
        <v>74</v>
      </c>
      <c r="P554" t="s">
        <v>74</v>
      </c>
      <c r="Q554" t="s">
        <v>74</v>
      </c>
      <c r="R554" t="s">
        <v>74</v>
      </c>
      <c r="S554" t="s">
        <v>74</v>
      </c>
      <c r="T554" t="s">
        <v>9346</v>
      </c>
      <c r="U554" t="s">
        <v>9347</v>
      </c>
      <c r="V554" t="s">
        <v>9348</v>
      </c>
      <c r="W554" t="s">
        <v>9349</v>
      </c>
      <c r="X554" t="s">
        <v>9350</v>
      </c>
      <c r="Y554" t="s">
        <v>9351</v>
      </c>
      <c r="Z554" t="s">
        <v>9352</v>
      </c>
      <c r="AA554" t="s">
        <v>9353</v>
      </c>
      <c r="AB554" t="s">
        <v>9354</v>
      </c>
      <c r="AC554" t="s">
        <v>74</v>
      </c>
      <c r="AD554" t="s">
        <v>74</v>
      </c>
      <c r="AE554" t="s">
        <v>74</v>
      </c>
      <c r="AF554" t="s">
        <v>74</v>
      </c>
      <c r="AG554">
        <v>65</v>
      </c>
      <c r="AH554">
        <v>22</v>
      </c>
      <c r="AI554">
        <v>24</v>
      </c>
      <c r="AJ554">
        <v>0</v>
      </c>
      <c r="AK554">
        <v>14</v>
      </c>
      <c r="AL554" t="s">
        <v>2556</v>
      </c>
      <c r="AM554" t="s">
        <v>662</v>
      </c>
      <c r="AN554" t="s">
        <v>4911</v>
      </c>
      <c r="AO554" t="s">
        <v>9313</v>
      </c>
      <c r="AP554" t="s">
        <v>74</v>
      </c>
      <c r="AQ554" t="s">
        <v>74</v>
      </c>
      <c r="AR554" t="s">
        <v>9315</v>
      </c>
      <c r="AS554" t="s">
        <v>9316</v>
      </c>
      <c r="AT554" t="s">
        <v>9266</v>
      </c>
      <c r="AU554">
        <v>2007</v>
      </c>
      <c r="AV554">
        <v>19</v>
      </c>
      <c r="AW554">
        <v>4</v>
      </c>
      <c r="AX554" t="s">
        <v>74</v>
      </c>
      <c r="AY554" t="s">
        <v>74</v>
      </c>
      <c r="AZ554" t="s">
        <v>74</v>
      </c>
      <c r="BA554" t="s">
        <v>74</v>
      </c>
      <c r="BB554">
        <v>417</v>
      </c>
      <c r="BC554">
        <v>426</v>
      </c>
      <c r="BD554" t="s">
        <v>74</v>
      </c>
      <c r="BE554" t="s">
        <v>9355</v>
      </c>
      <c r="BF554" t="str">
        <f>HYPERLINK("http://dx.doi.org/10.1017/S0954102007000648","http://dx.doi.org/10.1017/S0954102007000648")</f>
        <v>http://dx.doi.org/10.1017/S0954102007000648</v>
      </c>
      <c r="BG554" t="s">
        <v>74</v>
      </c>
      <c r="BH554" t="s">
        <v>74</v>
      </c>
      <c r="BI554">
        <v>10</v>
      </c>
      <c r="BJ554" t="s">
        <v>9318</v>
      </c>
      <c r="BK554" t="s">
        <v>97</v>
      </c>
      <c r="BL554" t="s">
        <v>9319</v>
      </c>
      <c r="BM554" t="s">
        <v>9320</v>
      </c>
      <c r="BN554" t="s">
        <v>74</v>
      </c>
      <c r="BO554" t="s">
        <v>74</v>
      </c>
      <c r="BP554" t="s">
        <v>74</v>
      </c>
      <c r="BQ554" t="s">
        <v>74</v>
      </c>
      <c r="BR554" t="s">
        <v>100</v>
      </c>
      <c r="BS554" t="s">
        <v>9356</v>
      </c>
      <c r="BT554" t="str">
        <f>HYPERLINK("https%3A%2F%2Fwww.webofscience.com%2Fwos%2Fwoscc%2Ffull-record%2FWOS:000251823700005","View Full Record in Web of Science")</f>
        <v>View Full Record in Web of Science</v>
      </c>
    </row>
    <row r="555" spans="1:72" x14ac:dyDescent="0.15">
      <c r="A555" t="s">
        <v>72</v>
      </c>
      <c r="B555" t="s">
        <v>9357</v>
      </c>
      <c r="C555" t="s">
        <v>74</v>
      </c>
      <c r="D555" t="s">
        <v>74</v>
      </c>
      <c r="E555" t="s">
        <v>74</v>
      </c>
      <c r="F555" t="s">
        <v>9358</v>
      </c>
      <c r="G555" t="s">
        <v>74</v>
      </c>
      <c r="H555" t="s">
        <v>74</v>
      </c>
      <c r="I555" t="s">
        <v>9359</v>
      </c>
      <c r="J555" t="s">
        <v>9312</v>
      </c>
      <c r="K555" t="s">
        <v>74</v>
      </c>
      <c r="L555" t="s">
        <v>74</v>
      </c>
      <c r="M555" t="s">
        <v>78</v>
      </c>
      <c r="N555" t="s">
        <v>79</v>
      </c>
      <c r="O555" t="s">
        <v>74</v>
      </c>
      <c r="P555" t="s">
        <v>74</v>
      </c>
      <c r="Q555" t="s">
        <v>74</v>
      </c>
      <c r="R555" t="s">
        <v>74</v>
      </c>
      <c r="S555" t="s">
        <v>74</v>
      </c>
      <c r="T555" t="s">
        <v>9360</v>
      </c>
      <c r="U555" t="s">
        <v>9361</v>
      </c>
      <c r="V555" t="s">
        <v>9362</v>
      </c>
      <c r="W555" t="s">
        <v>9363</v>
      </c>
      <c r="X555" t="s">
        <v>9364</v>
      </c>
      <c r="Y555" t="s">
        <v>9365</v>
      </c>
      <c r="Z555" t="s">
        <v>9366</v>
      </c>
      <c r="AA555" t="s">
        <v>8779</v>
      </c>
      <c r="AB555" t="s">
        <v>74</v>
      </c>
      <c r="AC555" t="s">
        <v>9367</v>
      </c>
      <c r="AD555" t="s">
        <v>9368</v>
      </c>
      <c r="AE555" t="s">
        <v>74</v>
      </c>
      <c r="AF555" t="s">
        <v>74</v>
      </c>
      <c r="AG555">
        <v>47</v>
      </c>
      <c r="AH555">
        <v>8</v>
      </c>
      <c r="AI555">
        <v>9</v>
      </c>
      <c r="AJ555">
        <v>2</v>
      </c>
      <c r="AK555">
        <v>27</v>
      </c>
      <c r="AL555" t="s">
        <v>2556</v>
      </c>
      <c r="AM555" t="s">
        <v>662</v>
      </c>
      <c r="AN555" t="s">
        <v>4911</v>
      </c>
      <c r="AO555" t="s">
        <v>9313</v>
      </c>
      <c r="AP555" t="s">
        <v>9314</v>
      </c>
      <c r="AQ555" t="s">
        <v>74</v>
      </c>
      <c r="AR555" t="s">
        <v>9315</v>
      </c>
      <c r="AS555" t="s">
        <v>9316</v>
      </c>
      <c r="AT555" t="s">
        <v>9266</v>
      </c>
      <c r="AU555">
        <v>2007</v>
      </c>
      <c r="AV555">
        <v>19</v>
      </c>
      <c r="AW555">
        <v>4</v>
      </c>
      <c r="AX555" t="s">
        <v>74</v>
      </c>
      <c r="AY555" t="s">
        <v>74</v>
      </c>
      <c r="AZ555" t="s">
        <v>74</v>
      </c>
      <c r="BA555" t="s">
        <v>74</v>
      </c>
      <c r="BB555">
        <v>427</v>
      </c>
      <c r="BC555">
        <v>436</v>
      </c>
      <c r="BD555" t="s">
        <v>74</v>
      </c>
      <c r="BE555" t="s">
        <v>9369</v>
      </c>
      <c r="BF555" t="str">
        <f>HYPERLINK("http://dx.doi.org/10.1017/S0954102007000703","http://dx.doi.org/10.1017/S0954102007000703")</f>
        <v>http://dx.doi.org/10.1017/S0954102007000703</v>
      </c>
      <c r="BG555" t="s">
        <v>74</v>
      </c>
      <c r="BH555" t="s">
        <v>74</v>
      </c>
      <c r="BI555">
        <v>10</v>
      </c>
      <c r="BJ555" t="s">
        <v>9318</v>
      </c>
      <c r="BK555" t="s">
        <v>97</v>
      </c>
      <c r="BL555" t="s">
        <v>9319</v>
      </c>
      <c r="BM555" t="s">
        <v>9320</v>
      </c>
      <c r="BN555" t="s">
        <v>74</v>
      </c>
      <c r="BO555" t="s">
        <v>74</v>
      </c>
      <c r="BP555" t="s">
        <v>74</v>
      </c>
      <c r="BQ555" t="s">
        <v>74</v>
      </c>
      <c r="BR555" t="s">
        <v>100</v>
      </c>
      <c r="BS555" t="s">
        <v>9370</v>
      </c>
      <c r="BT555" t="str">
        <f>HYPERLINK("https%3A%2F%2Fwww.webofscience.com%2Fwos%2Fwoscc%2Ffull-record%2FWOS:000251823700006","View Full Record in Web of Science")</f>
        <v>View Full Record in Web of Science</v>
      </c>
    </row>
    <row r="556" spans="1:72" x14ac:dyDescent="0.15">
      <c r="A556" t="s">
        <v>72</v>
      </c>
      <c r="B556" t="s">
        <v>9371</v>
      </c>
      <c r="C556" t="s">
        <v>74</v>
      </c>
      <c r="D556" t="s">
        <v>74</v>
      </c>
      <c r="E556" t="s">
        <v>74</v>
      </c>
      <c r="F556" t="s">
        <v>9372</v>
      </c>
      <c r="G556" t="s">
        <v>74</v>
      </c>
      <c r="H556" t="s">
        <v>74</v>
      </c>
      <c r="I556" t="s">
        <v>9373</v>
      </c>
      <c r="J556" t="s">
        <v>9312</v>
      </c>
      <c r="K556" t="s">
        <v>74</v>
      </c>
      <c r="L556" t="s">
        <v>74</v>
      </c>
      <c r="M556" t="s">
        <v>78</v>
      </c>
      <c r="N556" t="s">
        <v>79</v>
      </c>
      <c r="O556" t="s">
        <v>74</v>
      </c>
      <c r="P556" t="s">
        <v>74</v>
      </c>
      <c r="Q556" t="s">
        <v>74</v>
      </c>
      <c r="R556" t="s">
        <v>74</v>
      </c>
      <c r="S556" t="s">
        <v>74</v>
      </c>
      <c r="T556" t="s">
        <v>74</v>
      </c>
      <c r="U556" t="s">
        <v>74</v>
      </c>
      <c r="V556" t="s">
        <v>74</v>
      </c>
      <c r="W556" t="s">
        <v>9374</v>
      </c>
      <c r="X556" t="s">
        <v>5835</v>
      </c>
      <c r="Y556" t="s">
        <v>9375</v>
      </c>
      <c r="Z556" t="s">
        <v>9376</v>
      </c>
      <c r="AA556" t="s">
        <v>9377</v>
      </c>
      <c r="AB556" t="s">
        <v>9378</v>
      </c>
      <c r="AC556" t="s">
        <v>74</v>
      </c>
      <c r="AD556" t="s">
        <v>74</v>
      </c>
      <c r="AE556" t="s">
        <v>74</v>
      </c>
      <c r="AF556" t="s">
        <v>74</v>
      </c>
      <c r="AG556">
        <v>6</v>
      </c>
      <c r="AH556">
        <v>12</v>
      </c>
      <c r="AI556">
        <v>13</v>
      </c>
      <c r="AJ556">
        <v>0</v>
      </c>
      <c r="AK556">
        <v>5</v>
      </c>
      <c r="AL556" t="s">
        <v>2556</v>
      </c>
      <c r="AM556" t="s">
        <v>662</v>
      </c>
      <c r="AN556" t="s">
        <v>4911</v>
      </c>
      <c r="AO556" t="s">
        <v>9313</v>
      </c>
      <c r="AP556" t="s">
        <v>74</v>
      </c>
      <c r="AQ556" t="s">
        <v>74</v>
      </c>
      <c r="AR556" t="s">
        <v>9315</v>
      </c>
      <c r="AS556" t="s">
        <v>9316</v>
      </c>
      <c r="AT556" t="s">
        <v>9266</v>
      </c>
      <c r="AU556">
        <v>2007</v>
      </c>
      <c r="AV556">
        <v>19</v>
      </c>
      <c r="AW556">
        <v>4</v>
      </c>
      <c r="AX556" t="s">
        <v>74</v>
      </c>
      <c r="AY556" t="s">
        <v>74</v>
      </c>
      <c r="AZ556" t="s">
        <v>74</v>
      </c>
      <c r="BA556" t="s">
        <v>74</v>
      </c>
      <c r="BB556">
        <v>437</v>
      </c>
      <c r="BC556">
        <v>438</v>
      </c>
      <c r="BD556" t="s">
        <v>74</v>
      </c>
      <c r="BE556" t="s">
        <v>9379</v>
      </c>
      <c r="BF556" t="str">
        <f>HYPERLINK("http://dx.doi.org/10.1017/S0954102007000429","http://dx.doi.org/10.1017/S0954102007000429")</f>
        <v>http://dx.doi.org/10.1017/S0954102007000429</v>
      </c>
      <c r="BG556" t="s">
        <v>74</v>
      </c>
      <c r="BH556" t="s">
        <v>74</v>
      </c>
      <c r="BI556">
        <v>2</v>
      </c>
      <c r="BJ556" t="s">
        <v>9318</v>
      </c>
      <c r="BK556" t="s">
        <v>97</v>
      </c>
      <c r="BL556" t="s">
        <v>9319</v>
      </c>
      <c r="BM556" t="s">
        <v>9320</v>
      </c>
      <c r="BN556" t="s">
        <v>74</v>
      </c>
      <c r="BO556" t="s">
        <v>74</v>
      </c>
      <c r="BP556" t="s">
        <v>74</v>
      </c>
      <c r="BQ556" t="s">
        <v>74</v>
      </c>
      <c r="BR556" t="s">
        <v>100</v>
      </c>
      <c r="BS556" t="s">
        <v>9380</v>
      </c>
      <c r="BT556" t="str">
        <f>HYPERLINK("https%3A%2F%2Fwww.webofscience.com%2Fwos%2Fwoscc%2Ffull-record%2FWOS:000251823700007","View Full Record in Web of Science")</f>
        <v>View Full Record in Web of Science</v>
      </c>
    </row>
    <row r="557" spans="1:72" x14ac:dyDescent="0.15">
      <c r="A557" t="s">
        <v>72</v>
      </c>
      <c r="B557" t="s">
        <v>9381</v>
      </c>
      <c r="C557" t="s">
        <v>74</v>
      </c>
      <c r="D557" t="s">
        <v>74</v>
      </c>
      <c r="E557" t="s">
        <v>74</v>
      </c>
      <c r="F557" t="s">
        <v>9382</v>
      </c>
      <c r="G557" t="s">
        <v>74</v>
      </c>
      <c r="H557" t="s">
        <v>74</v>
      </c>
      <c r="I557" t="s">
        <v>9383</v>
      </c>
      <c r="J557" t="s">
        <v>9312</v>
      </c>
      <c r="K557" t="s">
        <v>74</v>
      </c>
      <c r="L557" t="s">
        <v>74</v>
      </c>
      <c r="M557" t="s">
        <v>78</v>
      </c>
      <c r="N557" t="s">
        <v>79</v>
      </c>
      <c r="O557" t="s">
        <v>74</v>
      </c>
      <c r="P557" t="s">
        <v>74</v>
      </c>
      <c r="Q557" t="s">
        <v>74</v>
      </c>
      <c r="R557" t="s">
        <v>74</v>
      </c>
      <c r="S557" t="s">
        <v>74</v>
      </c>
      <c r="T557" t="s">
        <v>74</v>
      </c>
      <c r="U557" t="s">
        <v>9384</v>
      </c>
      <c r="V557" t="s">
        <v>74</v>
      </c>
      <c r="W557" t="s">
        <v>9385</v>
      </c>
      <c r="X557" t="s">
        <v>9386</v>
      </c>
      <c r="Y557" t="s">
        <v>9387</v>
      </c>
      <c r="Z557" t="s">
        <v>9388</v>
      </c>
      <c r="AA557" t="s">
        <v>9389</v>
      </c>
      <c r="AB557" t="s">
        <v>9390</v>
      </c>
      <c r="AC557" t="s">
        <v>74</v>
      </c>
      <c r="AD557" t="s">
        <v>74</v>
      </c>
      <c r="AE557" t="s">
        <v>74</v>
      </c>
      <c r="AF557" t="s">
        <v>74</v>
      </c>
      <c r="AG557">
        <v>18</v>
      </c>
      <c r="AH557">
        <v>12</v>
      </c>
      <c r="AI557">
        <v>14</v>
      </c>
      <c r="AJ557">
        <v>4</v>
      </c>
      <c r="AK557">
        <v>14</v>
      </c>
      <c r="AL557" t="s">
        <v>2556</v>
      </c>
      <c r="AM557" t="s">
        <v>662</v>
      </c>
      <c r="AN557" t="s">
        <v>4911</v>
      </c>
      <c r="AO557" t="s">
        <v>9313</v>
      </c>
      <c r="AP557" t="s">
        <v>74</v>
      </c>
      <c r="AQ557" t="s">
        <v>74</v>
      </c>
      <c r="AR557" t="s">
        <v>9315</v>
      </c>
      <c r="AS557" t="s">
        <v>9316</v>
      </c>
      <c r="AT557" t="s">
        <v>9266</v>
      </c>
      <c r="AU557">
        <v>2007</v>
      </c>
      <c r="AV557">
        <v>19</v>
      </c>
      <c r="AW557">
        <v>4</v>
      </c>
      <c r="AX557" t="s">
        <v>74</v>
      </c>
      <c r="AY557" t="s">
        <v>74</v>
      </c>
      <c r="AZ557" t="s">
        <v>74</v>
      </c>
      <c r="BA557" t="s">
        <v>74</v>
      </c>
      <c r="BB557">
        <v>439</v>
      </c>
      <c r="BC557">
        <v>440</v>
      </c>
      <c r="BD557" t="s">
        <v>74</v>
      </c>
      <c r="BE557" t="s">
        <v>9391</v>
      </c>
      <c r="BF557" t="str">
        <f>HYPERLINK("http://dx.doi.org/10.1017/S0954102007000508","http://dx.doi.org/10.1017/S0954102007000508")</f>
        <v>http://dx.doi.org/10.1017/S0954102007000508</v>
      </c>
      <c r="BG557" t="s">
        <v>74</v>
      </c>
      <c r="BH557" t="s">
        <v>74</v>
      </c>
      <c r="BI557">
        <v>2</v>
      </c>
      <c r="BJ557" t="s">
        <v>9318</v>
      </c>
      <c r="BK557" t="s">
        <v>97</v>
      </c>
      <c r="BL557" t="s">
        <v>9319</v>
      </c>
      <c r="BM557" t="s">
        <v>9320</v>
      </c>
      <c r="BN557" t="s">
        <v>74</v>
      </c>
      <c r="BO557" t="s">
        <v>1050</v>
      </c>
      <c r="BP557" t="s">
        <v>74</v>
      </c>
      <c r="BQ557" t="s">
        <v>74</v>
      </c>
      <c r="BR557" t="s">
        <v>100</v>
      </c>
      <c r="BS557" t="s">
        <v>9392</v>
      </c>
      <c r="BT557" t="str">
        <f>HYPERLINK("https%3A%2F%2Fwww.webofscience.com%2Fwos%2Fwoscc%2Ffull-record%2FWOS:000251823700008","View Full Record in Web of Science")</f>
        <v>View Full Record in Web of Science</v>
      </c>
    </row>
    <row r="558" spans="1:72" x14ac:dyDescent="0.15">
      <c r="A558" t="s">
        <v>72</v>
      </c>
      <c r="B558" t="s">
        <v>9393</v>
      </c>
      <c r="C558" t="s">
        <v>74</v>
      </c>
      <c r="D558" t="s">
        <v>74</v>
      </c>
      <c r="E558" t="s">
        <v>74</v>
      </c>
      <c r="F558" t="s">
        <v>9394</v>
      </c>
      <c r="G558" t="s">
        <v>74</v>
      </c>
      <c r="H558" t="s">
        <v>74</v>
      </c>
      <c r="I558" t="s">
        <v>9395</v>
      </c>
      <c r="J558" t="s">
        <v>9312</v>
      </c>
      <c r="K558" t="s">
        <v>74</v>
      </c>
      <c r="L558" t="s">
        <v>74</v>
      </c>
      <c r="M558" t="s">
        <v>78</v>
      </c>
      <c r="N558" t="s">
        <v>79</v>
      </c>
      <c r="O558" t="s">
        <v>74</v>
      </c>
      <c r="P558" t="s">
        <v>74</v>
      </c>
      <c r="Q558" t="s">
        <v>74</v>
      </c>
      <c r="R558" t="s">
        <v>74</v>
      </c>
      <c r="S558" t="s">
        <v>74</v>
      </c>
      <c r="T558" t="s">
        <v>74</v>
      </c>
      <c r="U558" t="s">
        <v>9396</v>
      </c>
      <c r="V558" t="s">
        <v>74</v>
      </c>
      <c r="W558" t="s">
        <v>9397</v>
      </c>
      <c r="X558" t="s">
        <v>9398</v>
      </c>
      <c r="Y558" t="s">
        <v>9399</v>
      </c>
      <c r="Z558" t="s">
        <v>9400</v>
      </c>
      <c r="AA558" t="s">
        <v>74</v>
      </c>
      <c r="AB558" t="s">
        <v>74</v>
      </c>
      <c r="AC558" t="s">
        <v>74</v>
      </c>
      <c r="AD558" t="s">
        <v>74</v>
      </c>
      <c r="AE558" t="s">
        <v>74</v>
      </c>
      <c r="AF558" t="s">
        <v>74</v>
      </c>
      <c r="AG558">
        <v>20</v>
      </c>
      <c r="AH558">
        <v>34</v>
      </c>
      <c r="AI558">
        <v>43</v>
      </c>
      <c r="AJ558">
        <v>0</v>
      </c>
      <c r="AK558">
        <v>8</v>
      </c>
      <c r="AL558" t="s">
        <v>2556</v>
      </c>
      <c r="AM558" t="s">
        <v>662</v>
      </c>
      <c r="AN558" t="s">
        <v>4911</v>
      </c>
      <c r="AO558" t="s">
        <v>9313</v>
      </c>
      <c r="AP558" t="s">
        <v>74</v>
      </c>
      <c r="AQ558" t="s">
        <v>74</v>
      </c>
      <c r="AR558" t="s">
        <v>9315</v>
      </c>
      <c r="AS558" t="s">
        <v>9316</v>
      </c>
      <c r="AT558" t="s">
        <v>9266</v>
      </c>
      <c r="AU558">
        <v>2007</v>
      </c>
      <c r="AV558">
        <v>19</v>
      </c>
      <c r="AW558">
        <v>4</v>
      </c>
      <c r="AX558" t="s">
        <v>74</v>
      </c>
      <c r="AY558" t="s">
        <v>74</v>
      </c>
      <c r="AZ558" t="s">
        <v>74</v>
      </c>
      <c r="BA558" t="s">
        <v>74</v>
      </c>
      <c r="BB558">
        <v>441</v>
      </c>
      <c r="BC558">
        <v>442</v>
      </c>
      <c r="BD558" t="s">
        <v>74</v>
      </c>
      <c r="BE558" t="s">
        <v>9401</v>
      </c>
      <c r="BF558" t="str">
        <f>HYPERLINK("http://dx.doi.org/10.1017/S0954102007000715","http://dx.doi.org/10.1017/S0954102007000715")</f>
        <v>http://dx.doi.org/10.1017/S0954102007000715</v>
      </c>
      <c r="BG558" t="s">
        <v>74</v>
      </c>
      <c r="BH558" t="s">
        <v>74</v>
      </c>
      <c r="BI558">
        <v>2</v>
      </c>
      <c r="BJ558" t="s">
        <v>9318</v>
      </c>
      <c r="BK558" t="s">
        <v>97</v>
      </c>
      <c r="BL558" t="s">
        <v>9319</v>
      </c>
      <c r="BM558" t="s">
        <v>9320</v>
      </c>
      <c r="BN558" t="s">
        <v>74</v>
      </c>
      <c r="BO558" t="s">
        <v>74</v>
      </c>
      <c r="BP558" t="s">
        <v>74</v>
      </c>
      <c r="BQ558" t="s">
        <v>74</v>
      </c>
      <c r="BR558" t="s">
        <v>100</v>
      </c>
      <c r="BS558" t="s">
        <v>9402</v>
      </c>
      <c r="BT558" t="str">
        <f>HYPERLINK("https%3A%2F%2Fwww.webofscience.com%2Fwos%2Fwoscc%2Ffull-record%2FWOS:000251823700009","View Full Record in Web of Science")</f>
        <v>View Full Record in Web of Science</v>
      </c>
    </row>
    <row r="559" spans="1:72" x14ac:dyDescent="0.15">
      <c r="A559" t="s">
        <v>72</v>
      </c>
      <c r="B559" t="s">
        <v>9403</v>
      </c>
      <c r="C559" t="s">
        <v>74</v>
      </c>
      <c r="D559" t="s">
        <v>74</v>
      </c>
      <c r="E559" t="s">
        <v>74</v>
      </c>
      <c r="F559" t="s">
        <v>9404</v>
      </c>
      <c r="G559" t="s">
        <v>74</v>
      </c>
      <c r="H559" t="s">
        <v>74</v>
      </c>
      <c r="I559" t="s">
        <v>9405</v>
      </c>
      <c r="J559" t="s">
        <v>9312</v>
      </c>
      <c r="K559" t="s">
        <v>74</v>
      </c>
      <c r="L559" t="s">
        <v>74</v>
      </c>
      <c r="M559" t="s">
        <v>78</v>
      </c>
      <c r="N559" t="s">
        <v>79</v>
      </c>
      <c r="O559" t="s">
        <v>74</v>
      </c>
      <c r="P559" t="s">
        <v>74</v>
      </c>
      <c r="Q559" t="s">
        <v>74</v>
      </c>
      <c r="R559" t="s">
        <v>74</v>
      </c>
      <c r="S559" t="s">
        <v>74</v>
      </c>
      <c r="T559" t="s">
        <v>9406</v>
      </c>
      <c r="U559" t="s">
        <v>9407</v>
      </c>
      <c r="V559" t="s">
        <v>9408</v>
      </c>
      <c r="W559" t="s">
        <v>9409</v>
      </c>
      <c r="X559" t="s">
        <v>9410</v>
      </c>
      <c r="Y559" t="s">
        <v>9411</v>
      </c>
      <c r="Z559" t="s">
        <v>9412</v>
      </c>
      <c r="AA559" t="s">
        <v>9413</v>
      </c>
      <c r="AB559" t="s">
        <v>9414</v>
      </c>
      <c r="AC559" t="s">
        <v>74</v>
      </c>
      <c r="AD559" t="s">
        <v>74</v>
      </c>
      <c r="AE559" t="s">
        <v>74</v>
      </c>
      <c r="AF559" t="s">
        <v>74</v>
      </c>
      <c r="AG559">
        <v>32</v>
      </c>
      <c r="AH559">
        <v>13</v>
      </c>
      <c r="AI559">
        <v>14</v>
      </c>
      <c r="AJ559">
        <v>0</v>
      </c>
      <c r="AK559">
        <v>4</v>
      </c>
      <c r="AL559" t="s">
        <v>2556</v>
      </c>
      <c r="AM559" t="s">
        <v>662</v>
      </c>
      <c r="AN559" t="s">
        <v>4911</v>
      </c>
      <c r="AO559" t="s">
        <v>9313</v>
      </c>
      <c r="AP559" t="s">
        <v>74</v>
      </c>
      <c r="AQ559" t="s">
        <v>74</v>
      </c>
      <c r="AR559" t="s">
        <v>9315</v>
      </c>
      <c r="AS559" t="s">
        <v>9316</v>
      </c>
      <c r="AT559" t="s">
        <v>9266</v>
      </c>
      <c r="AU559">
        <v>2007</v>
      </c>
      <c r="AV559">
        <v>19</v>
      </c>
      <c r="AW559">
        <v>4</v>
      </c>
      <c r="AX559" t="s">
        <v>74</v>
      </c>
      <c r="AY559" t="s">
        <v>74</v>
      </c>
      <c r="AZ559" t="s">
        <v>74</v>
      </c>
      <c r="BA559" t="s">
        <v>74</v>
      </c>
      <c r="BB559">
        <v>443</v>
      </c>
      <c r="BC559">
        <v>450</v>
      </c>
      <c r="BD559" t="s">
        <v>74</v>
      </c>
      <c r="BE559" t="s">
        <v>9415</v>
      </c>
      <c r="BF559" t="str">
        <f>HYPERLINK("http://dx.doi.org/10.1017/S0954102007000582","http://dx.doi.org/10.1017/S0954102007000582")</f>
        <v>http://dx.doi.org/10.1017/S0954102007000582</v>
      </c>
      <c r="BG559" t="s">
        <v>74</v>
      </c>
      <c r="BH559" t="s">
        <v>74</v>
      </c>
      <c r="BI559">
        <v>8</v>
      </c>
      <c r="BJ559" t="s">
        <v>9318</v>
      </c>
      <c r="BK559" t="s">
        <v>97</v>
      </c>
      <c r="BL559" t="s">
        <v>9319</v>
      </c>
      <c r="BM559" t="s">
        <v>9320</v>
      </c>
      <c r="BN559" t="s">
        <v>74</v>
      </c>
      <c r="BO559" t="s">
        <v>74</v>
      </c>
      <c r="BP559" t="s">
        <v>74</v>
      </c>
      <c r="BQ559" t="s">
        <v>74</v>
      </c>
      <c r="BR559" t="s">
        <v>100</v>
      </c>
      <c r="BS559" t="s">
        <v>9416</v>
      </c>
      <c r="BT559" t="str">
        <f>HYPERLINK("https%3A%2F%2Fwww.webofscience.com%2Fwos%2Fwoscc%2Ffull-record%2FWOS:000251823700010","View Full Record in Web of Science")</f>
        <v>View Full Record in Web of Science</v>
      </c>
    </row>
    <row r="560" spans="1:72" x14ac:dyDescent="0.15">
      <c r="A560" t="s">
        <v>72</v>
      </c>
      <c r="B560" t="s">
        <v>9417</v>
      </c>
      <c r="C560" t="s">
        <v>74</v>
      </c>
      <c r="D560" t="s">
        <v>74</v>
      </c>
      <c r="E560" t="s">
        <v>74</v>
      </c>
      <c r="F560" t="s">
        <v>9418</v>
      </c>
      <c r="G560" t="s">
        <v>74</v>
      </c>
      <c r="H560" t="s">
        <v>74</v>
      </c>
      <c r="I560" t="s">
        <v>9419</v>
      </c>
      <c r="J560" t="s">
        <v>9312</v>
      </c>
      <c r="K560" t="s">
        <v>74</v>
      </c>
      <c r="L560" t="s">
        <v>74</v>
      </c>
      <c r="M560" t="s">
        <v>78</v>
      </c>
      <c r="N560" t="s">
        <v>79</v>
      </c>
      <c r="O560" t="s">
        <v>74</v>
      </c>
      <c r="P560" t="s">
        <v>74</v>
      </c>
      <c r="Q560" t="s">
        <v>74</v>
      </c>
      <c r="R560" t="s">
        <v>74</v>
      </c>
      <c r="S560" t="s">
        <v>74</v>
      </c>
      <c r="T560" t="s">
        <v>9420</v>
      </c>
      <c r="U560" t="s">
        <v>9421</v>
      </c>
      <c r="V560" t="s">
        <v>9422</v>
      </c>
      <c r="W560" t="s">
        <v>9423</v>
      </c>
      <c r="X560" t="s">
        <v>9424</v>
      </c>
      <c r="Y560" t="s">
        <v>9425</v>
      </c>
      <c r="Z560" t="s">
        <v>9426</v>
      </c>
      <c r="AA560" t="s">
        <v>9427</v>
      </c>
      <c r="AB560" t="s">
        <v>9428</v>
      </c>
      <c r="AC560" t="s">
        <v>74</v>
      </c>
      <c r="AD560" t="s">
        <v>74</v>
      </c>
      <c r="AE560" t="s">
        <v>74</v>
      </c>
      <c r="AF560" t="s">
        <v>74</v>
      </c>
      <c r="AG560">
        <v>61</v>
      </c>
      <c r="AH560">
        <v>13</v>
      </c>
      <c r="AI560">
        <v>13</v>
      </c>
      <c r="AJ560">
        <v>0</v>
      </c>
      <c r="AK560">
        <v>5</v>
      </c>
      <c r="AL560" t="s">
        <v>2556</v>
      </c>
      <c r="AM560" t="s">
        <v>662</v>
      </c>
      <c r="AN560" t="s">
        <v>4911</v>
      </c>
      <c r="AO560" t="s">
        <v>9313</v>
      </c>
      <c r="AP560" t="s">
        <v>9314</v>
      </c>
      <c r="AQ560" t="s">
        <v>74</v>
      </c>
      <c r="AR560" t="s">
        <v>9315</v>
      </c>
      <c r="AS560" t="s">
        <v>9316</v>
      </c>
      <c r="AT560" t="s">
        <v>9266</v>
      </c>
      <c r="AU560">
        <v>2007</v>
      </c>
      <c r="AV560">
        <v>19</v>
      </c>
      <c r="AW560">
        <v>4</v>
      </c>
      <c r="AX560" t="s">
        <v>74</v>
      </c>
      <c r="AY560" t="s">
        <v>74</v>
      </c>
      <c r="AZ560" t="s">
        <v>74</v>
      </c>
      <c r="BA560" t="s">
        <v>74</v>
      </c>
      <c r="BB560">
        <v>451</v>
      </c>
      <c r="BC560">
        <v>470</v>
      </c>
      <c r="BD560" t="s">
        <v>74</v>
      </c>
      <c r="BE560" t="s">
        <v>9429</v>
      </c>
      <c r="BF560" t="str">
        <f>HYPERLINK("http://dx.doi.org/10.1017/S0954102007000594","http://dx.doi.org/10.1017/S0954102007000594")</f>
        <v>http://dx.doi.org/10.1017/S0954102007000594</v>
      </c>
      <c r="BG560" t="s">
        <v>74</v>
      </c>
      <c r="BH560" t="s">
        <v>74</v>
      </c>
      <c r="BI560">
        <v>20</v>
      </c>
      <c r="BJ560" t="s">
        <v>9318</v>
      </c>
      <c r="BK560" t="s">
        <v>97</v>
      </c>
      <c r="BL560" t="s">
        <v>9319</v>
      </c>
      <c r="BM560" t="s">
        <v>9320</v>
      </c>
      <c r="BN560" t="s">
        <v>74</v>
      </c>
      <c r="BO560" t="s">
        <v>74</v>
      </c>
      <c r="BP560" t="s">
        <v>74</v>
      </c>
      <c r="BQ560" t="s">
        <v>74</v>
      </c>
      <c r="BR560" t="s">
        <v>100</v>
      </c>
      <c r="BS560" t="s">
        <v>9430</v>
      </c>
      <c r="BT560" t="str">
        <f>HYPERLINK("https%3A%2F%2Fwww.webofscience.com%2Fwos%2Fwoscc%2Ffull-record%2FWOS:000251823700011","View Full Record in Web of Science")</f>
        <v>View Full Record in Web of Science</v>
      </c>
    </row>
    <row r="561" spans="1:72" x14ac:dyDescent="0.15">
      <c r="A561" t="s">
        <v>72</v>
      </c>
      <c r="B561" t="s">
        <v>9431</v>
      </c>
      <c r="C561" t="s">
        <v>74</v>
      </c>
      <c r="D561" t="s">
        <v>74</v>
      </c>
      <c r="E561" t="s">
        <v>74</v>
      </c>
      <c r="F561" t="s">
        <v>9432</v>
      </c>
      <c r="G561" t="s">
        <v>74</v>
      </c>
      <c r="H561" t="s">
        <v>74</v>
      </c>
      <c r="I561" t="s">
        <v>9433</v>
      </c>
      <c r="J561" t="s">
        <v>9312</v>
      </c>
      <c r="K561" t="s">
        <v>74</v>
      </c>
      <c r="L561" t="s">
        <v>74</v>
      </c>
      <c r="M561" t="s">
        <v>78</v>
      </c>
      <c r="N561" t="s">
        <v>79</v>
      </c>
      <c r="O561" t="s">
        <v>74</v>
      </c>
      <c r="P561" t="s">
        <v>74</v>
      </c>
      <c r="Q561" t="s">
        <v>74</v>
      </c>
      <c r="R561" t="s">
        <v>74</v>
      </c>
      <c r="S561" t="s">
        <v>74</v>
      </c>
      <c r="T561" t="s">
        <v>9434</v>
      </c>
      <c r="U561" t="s">
        <v>9435</v>
      </c>
      <c r="V561" t="s">
        <v>9436</v>
      </c>
      <c r="W561" t="s">
        <v>9437</v>
      </c>
      <c r="X561" t="s">
        <v>9438</v>
      </c>
      <c r="Y561" t="s">
        <v>9439</v>
      </c>
      <c r="Z561" t="s">
        <v>9440</v>
      </c>
      <c r="AA561" t="s">
        <v>74</v>
      </c>
      <c r="AB561" t="s">
        <v>74</v>
      </c>
      <c r="AC561" t="s">
        <v>74</v>
      </c>
      <c r="AD561" t="s">
        <v>74</v>
      </c>
      <c r="AE561" t="s">
        <v>74</v>
      </c>
      <c r="AF561" t="s">
        <v>74</v>
      </c>
      <c r="AG561">
        <v>54</v>
      </c>
      <c r="AH561">
        <v>14</v>
      </c>
      <c r="AI561">
        <v>14</v>
      </c>
      <c r="AJ561">
        <v>0</v>
      </c>
      <c r="AK561">
        <v>5</v>
      </c>
      <c r="AL561" t="s">
        <v>2556</v>
      </c>
      <c r="AM561" t="s">
        <v>662</v>
      </c>
      <c r="AN561" t="s">
        <v>4911</v>
      </c>
      <c r="AO561" t="s">
        <v>9313</v>
      </c>
      <c r="AP561" t="s">
        <v>74</v>
      </c>
      <c r="AQ561" t="s">
        <v>74</v>
      </c>
      <c r="AR561" t="s">
        <v>9315</v>
      </c>
      <c r="AS561" t="s">
        <v>9316</v>
      </c>
      <c r="AT561" t="s">
        <v>9266</v>
      </c>
      <c r="AU561">
        <v>2007</v>
      </c>
      <c r="AV561">
        <v>19</v>
      </c>
      <c r="AW561">
        <v>4</v>
      </c>
      <c r="AX561" t="s">
        <v>74</v>
      </c>
      <c r="AY561" t="s">
        <v>74</v>
      </c>
      <c r="AZ561" t="s">
        <v>74</v>
      </c>
      <c r="BA561" t="s">
        <v>74</v>
      </c>
      <c r="BB561">
        <v>471</v>
      </c>
      <c r="BC561">
        <v>484</v>
      </c>
      <c r="BD561" t="s">
        <v>74</v>
      </c>
      <c r="BE561" t="s">
        <v>9441</v>
      </c>
      <c r="BF561" t="str">
        <f>HYPERLINK("http://dx.doi.org/10.1017/S0954102007000612","http://dx.doi.org/10.1017/S0954102007000612")</f>
        <v>http://dx.doi.org/10.1017/S0954102007000612</v>
      </c>
      <c r="BG561" t="s">
        <v>74</v>
      </c>
      <c r="BH561" t="s">
        <v>74</v>
      </c>
      <c r="BI561">
        <v>14</v>
      </c>
      <c r="BJ561" t="s">
        <v>9318</v>
      </c>
      <c r="BK561" t="s">
        <v>97</v>
      </c>
      <c r="BL561" t="s">
        <v>9319</v>
      </c>
      <c r="BM561" t="s">
        <v>9320</v>
      </c>
      <c r="BN561" t="s">
        <v>74</v>
      </c>
      <c r="BO561" t="s">
        <v>74</v>
      </c>
      <c r="BP561" t="s">
        <v>74</v>
      </c>
      <c r="BQ561" t="s">
        <v>74</v>
      </c>
      <c r="BR561" t="s">
        <v>100</v>
      </c>
      <c r="BS561" t="s">
        <v>9442</v>
      </c>
      <c r="BT561" t="str">
        <f>HYPERLINK("https%3A%2F%2Fwww.webofscience.com%2Fwos%2Fwoscc%2Ffull-record%2FWOS:000251823700012","View Full Record in Web of Science")</f>
        <v>View Full Record in Web of Science</v>
      </c>
    </row>
    <row r="562" spans="1:72" x14ac:dyDescent="0.15">
      <c r="A562" t="s">
        <v>72</v>
      </c>
      <c r="B562" t="s">
        <v>9443</v>
      </c>
      <c r="C562" t="s">
        <v>74</v>
      </c>
      <c r="D562" t="s">
        <v>74</v>
      </c>
      <c r="E562" t="s">
        <v>74</v>
      </c>
      <c r="F562" t="s">
        <v>9444</v>
      </c>
      <c r="G562" t="s">
        <v>74</v>
      </c>
      <c r="H562" t="s">
        <v>74</v>
      </c>
      <c r="I562" t="s">
        <v>9445</v>
      </c>
      <c r="J562" t="s">
        <v>9312</v>
      </c>
      <c r="K562" t="s">
        <v>74</v>
      </c>
      <c r="L562" t="s">
        <v>74</v>
      </c>
      <c r="M562" t="s">
        <v>78</v>
      </c>
      <c r="N562" t="s">
        <v>79</v>
      </c>
      <c r="O562" t="s">
        <v>74</v>
      </c>
      <c r="P562" t="s">
        <v>74</v>
      </c>
      <c r="Q562" t="s">
        <v>74</v>
      </c>
      <c r="R562" t="s">
        <v>74</v>
      </c>
      <c r="S562" t="s">
        <v>74</v>
      </c>
      <c r="T562" t="s">
        <v>9446</v>
      </c>
      <c r="U562" t="s">
        <v>9447</v>
      </c>
      <c r="V562" t="s">
        <v>9448</v>
      </c>
      <c r="W562" t="s">
        <v>9449</v>
      </c>
      <c r="X562" t="s">
        <v>9450</v>
      </c>
      <c r="Y562" t="s">
        <v>9451</v>
      </c>
      <c r="Z562" t="s">
        <v>9452</v>
      </c>
      <c r="AA562" t="s">
        <v>74</v>
      </c>
      <c r="AB562" t="s">
        <v>9453</v>
      </c>
      <c r="AC562" t="s">
        <v>74</v>
      </c>
      <c r="AD562" t="s">
        <v>74</v>
      </c>
      <c r="AE562" t="s">
        <v>74</v>
      </c>
      <c r="AF562" t="s">
        <v>74</v>
      </c>
      <c r="AG562">
        <v>35</v>
      </c>
      <c r="AH562">
        <v>19</v>
      </c>
      <c r="AI562">
        <v>25</v>
      </c>
      <c r="AJ562">
        <v>0</v>
      </c>
      <c r="AK562">
        <v>10</v>
      </c>
      <c r="AL562" t="s">
        <v>2556</v>
      </c>
      <c r="AM562" t="s">
        <v>662</v>
      </c>
      <c r="AN562" t="s">
        <v>4911</v>
      </c>
      <c r="AO562" t="s">
        <v>9313</v>
      </c>
      <c r="AP562" t="s">
        <v>74</v>
      </c>
      <c r="AQ562" t="s">
        <v>74</v>
      </c>
      <c r="AR562" t="s">
        <v>9315</v>
      </c>
      <c r="AS562" t="s">
        <v>9316</v>
      </c>
      <c r="AT562" t="s">
        <v>9266</v>
      </c>
      <c r="AU562">
        <v>2007</v>
      </c>
      <c r="AV562">
        <v>19</v>
      </c>
      <c r="AW562">
        <v>4</v>
      </c>
      <c r="AX562" t="s">
        <v>74</v>
      </c>
      <c r="AY562" t="s">
        <v>74</v>
      </c>
      <c r="AZ562" t="s">
        <v>74</v>
      </c>
      <c r="BA562" t="s">
        <v>74</v>
      </c>
      <c r="BB562">
        <v>485</v>
      </c>
      <c r="BC562">
        <v>496</v>
      </c>
      <c r="BD562" t="s">
        <v>74</v>
      </c>
      <c r="BE562" t="s">
        <v>9454</v>
      </c>
      <c r="BF562" t="str">
        <f>HYPERLINK("http://dx.doi.org/10.1017/S0954102007000624","http://dx.doi.org/10.1017/S0954102007000624")</f>
        <v>http://dx.doi.org/10.1017/S0954102007000624</v>
      </c>
      <c r="BG562" t="s">
        <v>74</v>
      </c>
      <c r="BH562" t="s">
        <v>74</v>
      </c>
      <c r="BI562">
        <v>12</v>
      </c>
      <c r="BJ562" t="s">
        <v>9318</v>
      </c>
      <c r="BK562" t="s">
        <v>97</v>
      </c>
      <c r="BL562" t="s">
        <v>9319</v>
      </c>
      <c r="BM562" t="s">
        <v>9320</v>
      </c>
      <c r="BN562" t="s">
        <v>74</v>
      </c>
      <c r="BO562" t="s">
        <v>74</v>
      </c>
      <c r="BP562" t="s">
        <v>74</v>
      </c>
      <c r="BQ562" t="s">
        <v>74</v>
      </c>
      <c r="BR562" t="s">
        <v>100</v>
      </c>
      <c r="BS562" t="s">
        <v>9455</v>
      </c>
      <c r="BT562" t="str">
        <f>HYPERLINK("https%3A%2F%2Fwww.webofscience.com%2Fwos%2Fwoscc%2Ffull-record%2FWOS:000251823700013","View Full Record in Web of Science")</f>
        <v>View Full Record in Web of Science</v>
      </c>
    </row>
    <row r="563" spans="1:72" x14ac:dyDescent="0.15">
      <c r="A563" t="s">
        <v>72</v>
      </c>
      <c r="B563" t="s">
        <v>9456</v>
      </c>
      <c r="C563" t="s">
        <v>74</v>
      </c>
      <c r="D563" t="s">
        <v>74</v>
      </c>
      <c r="E563" t="s">
        <v>74</v>
      </c>
      <c r="F563" t="s">
        <v>9457</v>
      </c>
      <c r="G563" t="s">
        <v>74</v>
      </c>
      <c r="H563" t="s">
        <v>74</v>
      </c>
      <c r="I563" t="s">
        <v>9458</v>
      </c>
      <c r="J563" t="s">
        <v>9312</v>
      </c>
      <c r="K563" t="s">
        <v>74</v>
      </c>
      <c r="L563" t="s">
        <v>74</v>
      </c>
      <c r="M563" t="s">
        <v>78</v>
      </c>
      <c r="N563" t="s">
        <v>79</v>
      </c>
      <c r="O563" t="s">
        <v>74</v>
      </c>
      <c r="P563" t="s">
        <v>74</v>
      </c>
      <c r="Q563" t="s">
        <v>74</v>
      </c>
      <c r="R563" t="s">
        <v>74</v>
      </c>
      <c r="S563" t="s">
        <v>74</v>
      </c>
      <c r="T563" t="s">
        <v>9459</v>
      </c>
      <c r="U563" t="s">
        <v>9460</v>
      </c>
      <c r="V563" t="s">
        <v>9461</v>
      </c>
      <c r="W563" t="s">
        <v>9462</v>
      </c>
      <c r="X563" t="s">
        <v>9463</v>
      </c>
      <c r="Y563" t="s">
        <v>9464</v>
      </c>
      <c r="Z563" t="s">
        <v>9465</v>
      </c>
      <c r="AA563" t="s">
        <v>9466</v>
      </c>
      <c r="AB563" t="s">
        <v>9467</v>
      </c>
      <c r="AC563" t="s">
        <v>74</v>
      </c>
      <c r="AD563" t="s">
        <v>74</v>
      </c>
      <c r="AE563" t="s">
        <v>74</v>
      </c>
      <c r="AF563" t="s">
        <v>74</v>
      </c>
      <c r="AG563">
        <v>32</v>
      </c>
      <c r="AH563">
        <v>34</v>
      </c>
      <c r="AI563">
        <v>38</v>
      </c>
      <c r="AJ563">
        <v>0</v>
      </c>
      <c r="AK563">
        <v>4</v>
      </c>
      <c r="AL563" t="s">
        <v>2556</v>
      </c>
      <c r="AM563" t="s">
        <v>662</v>
      </c>
      <c r="AN563" t="s">
        <v>4911</v>
      </c>
      <c r="AO563" t="s">
        <v>9313</v>
      </c>
      <c r="AP563" t="s">
        <v>9314</v>
      </c>
      <c r="AQ563" t="s">
        <v>74</v>
      </c>
      <c r="AR563" t="s">
        <v>9315</v>
      </c>
      <c r="AS563" t="s">
        <v>9316</v>
      </c>
      <c r="AT563" t="s">
        <v>9266</v>
      </c>
      <c r="AU563">
        <v>2007</v>
      </c>
      <c r="AV563">
        <v>19</v>
      </c>
      <c r="AW563">
        <v>4</v>
      </c>
      <c r="AX563" t="s">
        <v>74</v>
      </c>
      <c r="AY563" t="s">
        <v>74</v>
      </c>
      <c r="AZ563" t="s">
        <v>74</v>
      </c>
      <c r="BA563" t="s">
        <v>74</v>
      </c>
      <c r="BB563">
        <v>497</v>
      </c>
      <c r="BC563">
        <v>506</v>
      </c>
      <c r="BD563" t="s">
        <v>74</v>
      </c>
      <c r="BE563" t="s">
        <v>9468</v>
      </c>
      <c r="BF563" t="str">
        <f>HYPERLINK("http://dx.doi.org/10.1017/S0954102007000697","http://dx.doi.org/10.1017/S0954102007000697")</f>
        <v>http://dx.doi.org/10.1017/S0954102007000697</v>
      </c>
      <c r="BG563" t="s">
        <v>74</v>
      </c>
      <c r="BH563" t="s">
        <v>74</v>
      </c>
      <c r="BI563">
        <v>10</v>
      </c>
      <c r="BJ563" t="s">
        <v>9318</v>
      </c>
      <c r="BK563" t="s">
        <v>97</v>
      </c>
      <c r="BL563" t="s">
        <v>9319</v>
      </c>
      <c r="BM563" t="s">
        <v>9320</v>
      </c>
      <c r="BN563" t="s">
        <v>74</v>
      </c>
      <c r="BO563" t="s">
        <v>74</v>
      </c>
      <c r="BP563" t="s">
        <v>74</v>
      </c>
      <c r="BQ563" t="s">
        <v>74</v>
      </c>
      <c r="BR563" t="s">
        <v>100</v>
      </c>
      <c r="BS563" t="s">
        <v>9469</v>
      </c>
      <c r="BT563" t="str">
        <f>HYPERLINK("https%3A%2F%2Fwww.webofscience.com%2Fwos%2Fwoscc%2Ffull-record%2FWOS:000251823700014","View Full Record in Web of Science")</f>
        <v>View Full Record in Web of Science</v>
      </c>
    </row>
    <row r="564" spans="1:72" x14ac:dyDescent="0.15">
      <c r="A564" t="s">
        <v>72</v>
      </c>
      <c r="B564" t="s">
        <v>9470</v>
      </c>
      <c r="C564" t="s">
        <v>74</v>
      </c>
      <c r="D564" t="s">
        <v>74</v>
      </c>
      <c r="E564" t="s">
        <v>74</v>
      </c>
      <c r="F564" t="s">
        <v>9471</v>
      </c>
      <c r="G564" t="s">
        <v>74</v>
      </c>
      <c r="H564" t="s">
        <v>74</v>
      </c>
      <c r="I564" t="s">
        <v>9472</v>
      </c>
      <c r="J564" t="s">
        <v>9312</v>
      </c>
      <c r="K564" t="s">
        <v>74</v>
      </c>
      <c r="L564" t="s">
        <v>74</v>
      </c>
      <c r="M564" t="s">
        <v>78</v>
      </c>
      <c r="N564" t="s">
        <v>79</v>
      </c>
      <c r="O564" t="s">
        <v>74</v>
      </c>
      <c r="P564" t="s">
        <v>74</v>
      </c>
      <c r="Q564" t="s">
        <v>74</v>
      </c>
      <c r="R564" t="s">
        <v>74</v>
      </c>
      <c r="S564" t="s">
        <v>74</v>
      </c>
      <c r="T564" t="s">
        <v>9473</v>
      </c>
      <c r="U564" t="s">
        <v>9474</v>
      </c>
      <c r="V564" t="s">
        <v>9475</v>
      </c>
      <c r="W564" t="s">
        <v>9476</v>
      </c>
      <c r="X564" t="s">
        <v>9477</v>
      </c>
      <c r="Y564" t="s">
        <v>9478</v>
      </c>
      <c r="Z564" t="s">
        <v>9479</v>
      </c>
      <c r="AA564" t="s">
        <v>9480</v>
      </c>
      <c r="AB564" t="s">
        <v>9481</v>
      </c>
      <c r="AC564" t="s">
        <v>74</v>
      </c>
      <c r="AD564" t="s">
        <v>74</v>
      </c>
      <c r="AE564" t="s">
        <v>74</v>
      </c>
      <c r="AF564" t="s">
        <v>74</v>
      </c>
      <c r="AG564">
        <v>42</v>
      </c>
      <c r="AH564">
        <v>14</v>
      </c>
      <c r="AI564">
        <v>15</v>
      </c>
      <c r="AJ564">
        <v>0</v>
      </c>
      <c r="AK564">
        <v>4</v>
      </c>
      <c r="AL564" t="s">
        <v>2556</v>
      </c>
      <c r="AM564" t="s">
        <v>662</v>
      </c>
      <c r="AN564" t="s">
        <v>4911</v>
      </c>
      <c r="AO564" t="s">
        <v>9313</v>
      </c>
      <c r="AP564" t="s">
        <v>9314</v>
      </c>
      <c r="AQ564" t="s">
        <v>74</v>
      </c>
      <c r="AR564" t="s">
        <v>9315</v>
      </c>
      <c r="AS564" t="s">
        <v>9316</v>
      </c>
      <c r="AT564" t="s">
        <v>9266</v>
      </c>
      <c r="AU564">
        <v>2007</v>
      </c>
      <c r="AV564">
        <v>19</v>
      </c>
      <c r="AW564">
        <v>4</v>
      </c>
      <c r="AX564" t="s">
        <v>74</v>
      </c>
      <c r="AY564" t="s">
        <v>74</v>
      </c>
      <c r="AZ564" t="s">
        <v>74</v>
      </c>
      <c r="BA564" t="s">
        <v>74</v>
      </c>
      <c r="BB564">
        <v>507</v>
      </c>
      <c r="BC564">
        <v>519</v>
      </c>
      <c r="BD564" t="s">
        <v>74</v>
      </c>
      <c r="BE564" t="s">
        <v>9482</v>
      </c>
      <c r="BF564" t="str">
        <f>HYPERLINK("http://dx.doi.org/10.1017/S095410200700065X","http://dx.doi.org/10.1017/S095410200700065X")</f>
        <v>http://dx.doi.org/10.1017/S095410200700065X</v>
      </c>
      <c r="BG564" t="s">
        <v>74</v>
      </c>
      <c r="BH564" t="s">
        <v>74</v>
      </c>
      <c r="BI564">
        <v>13</v>
      </c>
      <c r="BJ564" t="s">
        <v>9318</v>
      </c>
      <c r="BK564" t="s">
        <v>97</v>
      </c>
      <c r="BL564" t="s">
        <v>9319</v>
      </c>
      <c r="BM564" t="s">
        <v>9320</v>
      </c>
      <c r="BN564" t="s">
        <v>74</v>
      </c>
      <c r="BO564" t="s">
        <v>74</v>
      </c>
      <c r="BP564" t="s">
        <v>74</v>
      </c>
      <c r="BQ564" t="s">
        <v>74</v>
      </c>
      <c r="BR564" t="s">
        <v>100</v>
      </c>
      <c r="BS564" t="s">
        <v>9483</v>
      </c>
      <c r="BT564" t="str">
        <f>HYPERLINK("https%3A%2F%2Fwww.webofscience.com%2Fwos%2Fwoscc%2Ffull-record%2FWOS:000251823700015","View Full Record in Web of Science")</f>
        <v>View Full Record in Web of Science</v>
      </c>
    </row>
    <row r="565" spans="1:72" x14ac:dyDescent="0.15">
      <c r="A565" t="s">
        <v>72</v>
      </c>
      <c r="B565" t="s">
        <v>9484</v>
      </c>
      <c r="C565" t="s">
        <v>74</v>
      </c>
      <c r="D565" t="s">
        <v>74</v>
      </c>
      <c r="E565" t="s">
        <v>74</v>
      </c>
      <c r="F565" t="s">
        <v>9485</v>
      </c>
      <c r="G565" t="s">
        <v>74</v>
      </c>
      <c r="H565" t="s">
        <v>74</v>
      </c>
      <c r="I565" t="s">
        <v>9486</v>
      </c>
      <c r="J565" t="s">
        <v>9312</v>
      </c>
      <c r="K565" t="s">
        <v>74</v>
      </c>
      <c r="L565" t="s">
        <v>74</v>
      </c>
      <c r="M565" t="s">
        <v>78</v>
      </c>
      <c r="N565" t="s">
        <v>79</v>
      </c>
      <c r="O565" t="s">
        <v>74</v>
      </c>
      <c r="P565" t="s">
        <v>74</v>
      </c>
      <c r="Q565" t="s">
        <v>74</v>
      </c>
      <c r="R565" t="s">
        <v>74</v>
      </c>
      <c r="S565" t="s">
        <v>74</v>
      </c>
      <c r="T565" t="s">
        <v>9487</v>
      </c>
      <c r="U565" t="s">
        <v>9488</v>
      </c>
      <c r="V565" t="s">
        <v>9489</v>
      </c>
      <c r="W565" t="s">
        <v>9490</v>
      </c>
      <c r="X565" t="s">
        <v>9491</v>
      </c>
      <c r="Y565" t="s">
        <v>9492</v>
      </c>
      <c r="Z565" t="s">
        <v>9493</v>
      </c>
      <c r="AA565" t="s">
        <v>9494</v>
      </c>
      <c r="AB565" t="s">
        <v>9495</v>
      </c>
      <c r="AC565" t="s">
        <v>5625</v>
      </c>
      <c r="AD565" t="s">
        <v>242</v>
      </c>
      <c r="AE565" t="s">
        <v>74</v>
      </c>
      <c r="AF565" t="s">
        <v>74</v>
      </c>
      <c r="AG565">
        <v>50</v>
      </c>
      <c r="AH565">
        <v>42</v>
      </c>
      <c r="AI565">
        <v>45</v>
      </c>
      <c r="AJ565">
        <v>0</v>
      </c>
      <c r="AK565">
        <v>12</v>
      </c>
      <c r="AL565" t="s">
        <v>2556</v>
      </c>
      <c r="AM565" t="s">
        <v>662</v>
      </c>
      <c r="AN565" t="s">
        <v>4911</v>
      </c>
      <c r="AO565" t="s">
        <v>9313</v>
      </c>
      <c r="AP565" t="s">
        <v>9314</v>
      </c>
      <c r="AQ565" t="s">
        <v>74</v>
      </c>
      <c r="AR565" t="s">
        <v>9315</v>
      </c>
      <c r="AS565" t="s">
        <v>9316</v>
      </c>
      <c r="AT565" t="s">
        <v>9266</v>
      </c>
      <c r="AU565">
        <v>2007</v>
      </c>
      <c r="AV565">
        <v>19</v>
      </c>
      <c r="AW565">
        <v>4</v>
      </c>
      <c r="AX565" t="s">
        <v>74</v>
      </c>
      <c r="AY565" t="s">
        <v>74</v>
      </c>
      <c r="AZ565" t="s">
        <v>74</v>
      </c>
      <c r="BA565" t="s">
        <v>74</v>
      </c>
      <c r="BB565">
        <v>521</v>
      </c>
      <c r="BC565">
        <v>532</v>
      </c>
      <c r="BD565" t="s">
        <v>74</v>
      </c>
      <c r="BE565" t="s">
        <v>9496</v>
      </c>
      <c r="BF565" t="str">
        <f>HYPERLINK("http://dx.doi.org/10.1017/S0954102007000661","http://dx.doi.org/10.1017/S0954102007000661")</f>
        <v>http://dx.doi.org/10.1017/S0954102007000661</v>
      </c>
      <c r="BG565" t="s">
        <v>74</v>
      </c>
      <c r="BH565" t="s">
        <v>74</v>
      </c>
      <c r="BI565">
        <v>12</v>
      </c>
      <c r="BJ565" t="s">
        <v>9318</v>
      </c>
      <c r="BK565" t="s">
        <v>97</v>
      </c>
      <c r="BL565" t="s">
        <v>9319</v>
      </c>
      <c r="BM565" t="s">
        <v>9320</v>
      </c>
      <c r="BN565" t="s">
        <v>74</v>
      </c>
      <c r="BO565" t="s">
        <v>74</v>
      </c>
      <c r="BP565" t="s">
        <v>74</v>
      </c>
      <c r="BQ565" t="s">
        <v>74</v>
      </c>
      <c r="BR565" t="s">
        <v>100</v>
      </c>
      <c r="BS565" t="s">
        <v>9497</v>
      </c>
      <c r="BT565" t="str">
        <f>HYPERLINK("https%3A%2F%2Fwww.webofscience.com%2Fwos%2Fwoscc%2Ffull-record%2FWOS:000251823700016","View Full Record in Web of Science")</f>
        <v>View Full Record in Web of Science</v>
      </c>
    </row>
    <row r="566" spans="1:72" x14ac:dyDescent="0.15">
      <c r="A566" t="s">
        <v>72</v>
      </c>
      <c r="B566" t="s">
        <v>9498</v>
      </c>
      <c r="C566" t="s">
        <v>74</v>
      </c>
      <c r="D566" t="s">
        <v>74</v>
      </c>
      <c r="E566" t="s">
        <v>74</v>
      </c>
      <c r="F566" t="s">
        <v>9499</v>
      </c>
      <c r="G566" t="s">
        <v>74</v>
      </c>
      <c r="H566" t="s">
        <v>74</v>
      </c>
      <c r="I566" t="s">
        <v>9500</v>
      </c>
      <c r="J566" t="s">
        <v>9501</v>
      </c>
      <c r="K566" t="s">
        <v>74</v>
      </c>
      <c r="L566" t="s">
        <v>74</v>
      </c>
      <c r="M566" t="s">
        <v>78</v>
      </c>
      <c r="N566" t="s">
        <v>1602</v>
      </c>
      <c r="O566" t="s">
        <v>9502</v>
      </c>
      <c r="P566" t="s">
        <v>9503</v>
      </c>
      <c r="Q566" t="s">
        <v>9504</v>
      </c>
      <c r="R566" t="s">
        <v>74</v>
      </c>
      <c r="S566" t="s">
        <v>74</v>
      </c>
      <c r="T566" t="s">
        <v>9505</v>
      </c>
      <c r="U566" t="s">
        <v>9506</v>
      </c>
      <c r="V566" t="s">
        <v>9507</v>
      </c>
      <c r="W566" t="s">
        <v>9508</v>
      </c>
      <c r="X566" t="s">
        <v>9509</v>
      </c>
      <c r="Y566" t="s">
        <v>9510</v>
      </c>
      <c r="Z566" t="s">
        <v>9511</v>
      </c>
      <c r="AA566" t="s">
        <v>74</v>
      </c>
      <c r="AB566" t="s">
        <v>7321</v>
      </c>
      <c r="AC566" t="s">
        <v>74</v>
      </c>
      <c r="AD566" t="s">
        <v>74</v>
      </c>
      <c r="AE566" t="s">
        <v>74</v>
      </c>
      <c r="AF566" t="s">
        <v>74</v>
      </c>
      <c r="AG566">
        <v>74</v>
      </c>
      <c r="AH566">
        <v>52</v>
      </c>
      <c r="AI566">
        <v>54</v>
      </c>
      <c r="AJ566">
        <v>3</v>
      </c>
      <c r="AK566">
        <v>28</v>
      </c>
      <c r="AL566" t="s">
        <v>88</v>
      </c>
      <c r="AM566" t="s">
        <v>89</v>
      </c>
      <c r="AN566" t="s">
        <v>90</v>
      </c>
      <c r="AO566" t="s">
        <v>9512</v>
      </c>
      <c r="AP566" t="s">
        <v>9513</v>
      </c>
      <c r="AQ566" t="s">
        <v>74</v>
      </c>
      <c r="AR566" t="s">
        <v>9514</v>
      </c>
      <c r="AS566" t="s">
        <v>9515</v>
      </c>
      <c r="AT566" t="s">
        <v>9266</v>
      </c>
      <c r="AU566">
        <v>2007</v>
      </c>
      <c r="AV566">
        <v>17</v>
      </c>
      <c r="AW566" t="s">
        <v>74</v>
      </c>
      <c r="AX566" t="s">
        <v>74</v>
      </c>
      <c r="AY566">
        <v>1</v>
      </c>
      <c r="AZ566" t="s">
        <v>74</v>
      </c>
      <c r="BA566" t="s">
        <v>74</v>
      </c>
      <c r="BB566" t="s">
        <v>9516</v>
      </c>
      <c r="BC566" t="s">
        <v>9517</v>
      </c>
      <c r="BD566" t="s">
        <v>74</v>
      </c>
      <c r="BE566" t="s">
        <v>9518</v>
      </c>
      <c r="BF566" t="str">
        <f>HYPERLINK("http://dx.doi.org/10.1002/aqc.908","http://dx.doi.org/10.1002/aqc.908")</f>
        <v>http://dx.doi.org/10.1002/aqc.908</v>
      </c>
      <c r="BG566" t="s">
        <v>74</v>
      </c>
      <c r="BH566" t="s">
        <v>74</v>
      </c>
      <c r="BI566">
        <v>15</v>
      </c>
      <c r="BJ566" t="s">
        <v>9519</v>
      </c>
      <c r="BK566" t="s">
        <v>1616</v>
      </c>
      <c r="BL566" t="s">
        <v>9520</v>
      </c>
      <c r="BM566" t="s">
        <v>9521</v>
      </c>
      <c r="BN566" t="s">
        <v>74</v>
      </c>
      <c r="BO566" t="s">
        <v>74</v>
      </c>
      <c r="BP566" t="s">
        <v>74</v>
      </c>
      <c r="BQ566" t="s">
        <v>74</v>
      </c>
      <c r="BR566" t="s">
        <v>100</v>
      </c>
      <c r="BS566" t="s">
        <v>9522</v>
      </c>
      <c r="BT566" t="str">
        <f>HYPERLINK("https%3A%2F%2Fwww.webofscience.com%2Fwos%2Fwoscc%2Ffull-record%2FWOS:000253679300006","View Full Record in Web of Science")</f>
        <v>View Full Record in Web of Science</v>
      </c>
    </row>
    <row r="567" spans="1:72" x14ac:dyDescent="0.15">
      <c r="A567" t="s">
        <v>72</v>
      </c>
      <c r="B567" t="s">
        <v>9523</v>
      </c>
      <c r="C567" t="s">
        <v>74</v>
      </c>
      <c r="D567" t="s">
        <v>74</v>
      </c>
      <c r="E567" t="s">
        <v>74</v>
      </c>
      <c r="F567" t="s">
        <v>9524</v>
      </c>
      <c r="G567" t="s">
        <v>74</v>
      </c>
      <c r="H567" t="s">
        <v>74</v>
      </c>
      <c r="I567" t="s">
        <v>9525</v>
      </c>
      <c r="J567" t="s">
        <v>9501</v>
      </c>
      <c r="K567" t="s">
        <v>74</v>
      </c>
      <c r="L567" t="s">
        <v>74</v>
      </c>
      <c r="M567" t="s">
        <v>78</v>
      </c>
      <c r="N567" t="s">
        <v>1602</v>
      </c>
      <c r="O567" t="s">
        <v>9502</v>
      </c>
      <c r="P567" t="s">
        <v>9503</v>
      </c>
      <c r="Q567" t="s">
        <v>9504</v>
      </c>
      <c r="R567" t="s">
        <v>74</v>
      </c>
      <c r="S567" t="s">
        <v>74</v>
      </c>
      <c r="T567" t="s">
        <v>9526</v>
      </c>
      <c r="U567" t="s">
        <v>9527</v>
      </c>
      <c r="V567" t="s">
        <v>9528</v>
      </c>
      <c r="W567" t="s">
        <v>9529</v>
      </c>
      <c r="X567" t="s">
        <v>9530</v>
      </c>
      <c r="Y567" t="s">
        <v>9531</v>
      </c>
      <c r="Z567" t="s">
        <v>9532</v>
      </c>
      <c r="AA567" t="s">
        <v>74</v>
      </c>
      <c r="AB567" t="s">
        <v>74</v>
      </c>
      <c r="AC567" t="s">
        <v>74</v>
      </c>
      <c r="AD567" t="s">
        <v>74</v>
      </c>
      <c r="AE567" t="s">
        <v>74</v>
      </c>
      <c r="AF567" t="s">
        <v>74</v>
      </c>
      <c r="AG567">
        <v>48</v>
      </c>
      <c r="AH567">
        <v>10</v>
      </c>
      <c r="AI567">
        <v>12</v>
      </c>
      <c r="AJ567">
        <v>0</v>
      </c>
      <c r="AK567">
        <v>16</v>
      </c>
      <c r="AL567" t="s">
        <v>1219</v>
      </c>
      <c r="AM567" t="s">
        <v>89</v>
      </c>
      <c r="AN567" t="s">
        <v>90</v>
      </c>
      <c r="AO567" t="s">
        <v>9512</v>
      </c>
      <c r="AP567" t="s">
        <v>9513</v>
      </c>
      <c r="AQ567" t="s">
        <v>74</v>
      </c>
      <c r="AR567" t="s">
        <v>9514</v>
      </c>
      <c r="AS567" t="s">
        <v>9515</v>
      </c>
      <c r="AT567" t="s">
        <v>9266</v>
      </c>
      <c r="AU567">
        <v>2007</v>
      </c>
      <c r="AV567">
        <v>17</v>
      </c>
      <c r="AW567" t="s">
        <v>74</v>
      </c>
      <c r="AX567" t="s">
        <v>74</v>
      </c>
      <c r="AY567">
        <v>1</v>
      </c>
      <c r="AZ567" t="s">
        <v>74</v>
      </c>
      <c r="BA567" t="s">
        <v>74</v>
      </c>
      <c r="BB567" t="s">
        <v>9533</v>
      </c>
      <c r="BC567" t="s">
        <v>9534</v>
      </c>
      <c r="BD567" t="s">
        <v>74</v>
      </c>
      <c r="BE567" t="s">
        <v>9535</v>
      </c>
      <c r="BF567" t="str">
        <f>HYPERLINK("http://dx.doi.org/10.1002/aqc.907","http://dx.doi.org/10.1002/aqc.907")</f>
        <v>http://dx.doi.org/10.1002/aqc.907</v>
      </c>
      <c r="BG567" t="s">
        <v>74</v>
      </c>
      <c r="BH567" t="s">
        <v>74</v>
      </c>
      <c r="BI567">
        <v>9</v>
      </c>
      <c r="BJ567" t="s">
        <v>9519</v>
      </c>
      <c r="BK567" t="s">
        <v>1616</v>
      </c>
      <c r="BL567" t="s">
        <v>9520</v>
      </c>
      <c r="BM567" t="s">
        <v>9521</v>
      </c>
      <c r="BN567" t="s">
        <v>74</v>
      </c>
      <c r="BO567" t="s">
        <v>74</v>
      </c>
      <c r="BP567" t="s">
        <v>74</v>
      </c>
      <c r="BQ567" t="s">
        <v>74</v>
      </c>
      <c r="BR567" t="s">
        <v>100</v>
      </c>
      <c r="BS567" t="s">
        <v>9536</v>
      </c>
      <c r="BT567" t="str">
        <f>HYPERLINK("https%3A%2F%2Fwww.webofscience.com%2Fwos%2Fwoscc%2Ffull-record%2FWOS:000253679300009","View Full Record in Web of Science")</f>
        <v>View Full Record in Web of Science</v>
      </c>
    </row>
    <row r="568" spans="1:72" x14ac:dyDescent="0.15">
      <c r="A568" t="s">
        <v>72</v>
      </c>
      <c r="B568" t="s">
        <v>9537</v>
      </c>
      <c r="C568" t="s">
        <v>74</v>
      </c>
      <c r="D568" t="s">
        <v>74</v>
      </c>
      <c r="E568" t="s">
        <v>74</v>
      </c>
      <c r="F568" t="s">
        <v>9538</v>
      </c>
      <c r="G568" t="s">
        <v>74</v>
      </c>
      <c r="H568" t="s">
        <v>74</v>
      </c>
      <c r="I568" t="s">
        <v>9539</v>
      </c>
      <c r="J568" t="s">
        <v>9501</v>
      </c>
      <c r="K568" t="s">
        <v>74</v>
      </c>
      <c r="L568" t="s">
        <v>74</v>
      </c>
      <c r="M568" t="s">
        <v>78</v>
      </c>
      <c r="N568" t="s">
        <v>1602</v>
      </c>
      <c r="O568" t="s">
        <v>9502</v>
      </c>
      <c r="P568" t="s">
        <v>9503</v>
      </c>
      <c r="Q568" t="s">
        <v>9504</v>
      </c>
      <c r="R568" t="s">
        <v>74</v>
      </c>
      <c r="S568" t="s">
        <v>74</v>
      </c>
      <c r="T568" t="s">
        <v>9540</v>
      </c>
      <c r="U568" t="s">
        <v>9541</v>
      </c>
      <c r="V568" t="s">
        <v>9542</v>
      </c>
      <c r="W568" t="s">
        <v>9543</v>
      </c>
      <c r="X568" t="s">
        <v>9544</v>
      </c>
      <c r="Y568" t="s">
        <v>9545</v>
      </c>
      <c r="Z568" t="s">
        <v>9546</v>
      </c>
      <c r="AA568" t="s">
        <v>9547</v>
      </c>
      <c r="AB568" t="s">
        <v>9548</v>
      </c>
      <c r="AC568" t="s">
        <v>2597</v>
      </c>
      <c r="AD568" t="s">
        <v>242</v>
      </c>
      <c r="AE568" t="s">
        <v>74</v>
      </c>
      <c r="AF568" t="s">
        <v>74</v>
      </c>
      <c r="AG568">
        <v>97</v>
      </c>
      <c r="AH568">
        <v>11</v>
      </c>
      <c r="AI568">
        <v>15</v>
      </c>
      <c r="AJ568">
        <v>4</v>
      </c>
      <c r="AK568">
        <v>56</v>
      </c>
      <c r="AL568" t="s">
        <v>1219</v>
      </c>
      <c r="AM568" t="s">
        <v>89</v>
      </c>
      <c r="AN568" t="s">
        <v>90</v>
      </c>
      <c r="AO568" t="s">
        <v>9512</v>
      </c>
      <c r="AP568" t="s">
        <v>9513</v>
      </c>
      <c r="AQ568" t="s">
        <v>74</v>
      </c>
      <c r="AR568" t="s">
        <v>9514</v>
      </c>
      <c r="AS568" t="s">
        <v>9515</v>
      </c>
      <c r="AT568" t="s">
        <v>9266</v>
      </c>
      <c r="AU568">
        <v>2007</v>
      </c>
      <c r="AV568">
        <v>17</v>
      </c>
      <c r="AW568" t="s">
        <v>74</v>
      </c>
      <c r="AX568" t="s">
        <v>74</v>
      </c>
      <c r="AY568">
        <v>1</v>
      </c>
      <c r="AZ568" t="s">
        <v>74</v>
      </c>
      <c r="BA568" t="s">
        <v>74</v>
      </c>
      <c r="BB568" t="s">
        <v>9549</v>
      </c>
      <c r="BC568" t="s">
        <v>9550</v>
      </c>
      <c r="BD568" t="s">
        <v>74</v>
      </c>
      <c r="BE568" t="s">
        <v>9551</v>
      </c>
      <c r="BF568" t="str">
        <f>HYPERLINK("http://dx.doi.org/10.1002/aqc.918","http://dx.doi.org/10.1002/aqc.918")</f>
        <v>http://dx.doi.org/10.1002/aqc.918</v>
      </c>
      <c r="BG568" t="s">
        <v>74</v>
      </c>
      <c r="BH568" t="s">
        <v>74</v>
      </c>
      <c r="BI568">
        <v>26</v>
      </c>
      <c r="BJ568" t="s">
        <v>9519</v>
      </c>
      <c r="BK568" t="s">
        <v>1616</v>
      </c>
      <c r="BL568" t="s">
        <v>9520</v>
      </c>
      <c r="BM568" t="s">
        <v>9521</v>
      </c>
      <c r="BN568" t="s">
        <v>74</v>
      </c>
      <c r="BO568" t="s">
        <v>74</v>
      </c>
      <c r="BP568" t="s">
        <v>74</v>
      </c>
      <c r="BQ568" t="s">
        <v>74</v>
      </c>
      <c r="BR568" t="s">
        <v>100</v>
      </c>
      <c r="BS568" t="s">
        <v>9552</v>
      </c>
      <c r="BT568" t="str">
        <f>HYPERLINK("https%3A%2F%2Fwww.webofscience.com%2Fwos%2Fwoscc%2Ffull-record%2FWOS:000253679300011","View Full Record in Web of Science")</f>
        <v>View Full Record in Web of Science</v>
      </c>
    </row>
    <row r="569" spans="1:72" x14ac:dyDescent="0.15">
      <c r="A569" t="s">
        <v>72</v>
      </c>
      <c r="B569" t="s">
        <v>9553</v>
      </c>
      <c r="C569" t="s">
        <v>74</v>
      </c>
      <c r="D569" t="s">
        <v>74</v>
      </c>
      <c r="E569" t="s">
        <v>74</v>
      </c>
      <c r="F569" t="s">
        <v>9554</v>
      </c>
      <c r="G569" t="s">
        <v>74</v>
      </c>
      <c r="H569" t="s">
        <v>74</v>
      </c>
      <c r="I569" t="s">
        <v>9555</v>
      </c>
      <c r="J569" t="s">
        <v>9501</v>
      </c>
      <c r="K569" t="s">
        <v>74</v>
      </c>
      <c r="L569" t="s">
        <v>74</v>
      </c>
      <c r="M569" t="s">
        <v>78</v>
      </c>
      <c r="N569" t="s">
        <v>1602</v>
      </c>
      <c r="O569" t="s">
        <v>9502</v>
      </c>
      <c r="P569" t="s">
        <v>9503</v>
      </c>
      <c r="Q569" t="s">
        <v>9504</v>
      </c>
      <c r="R569" t="s">
        <v>74</v>
      </c>
      <c r="S569" t="s">
        <v>74</v>
      </c>
      <c r="T569" t="s">
        <v>9556</v>
      </c>
      <c r="U569" t="s">
        <v>9557</v>
      </c>
      <c r="V569" t="s">
        <v>9558</v>
      </c>
      <c r="W569" t="s">
        <v>9559</v>
      </c>
      <c r="X569" t="s">
        <v>9560</v>
      </c>
      <c r="Y569" t="s">
        <v>9561</v>
      </c>
      <c r="Z569" t="s">
        <v>3416</v>
      </c>
      <c r="AA569" t="s">
        <v>3349</v>
      </c>
      <c r="AB569" t="s">
        <v>6382</v>
      </c>
      <c r="AC569" t="s">
        <v>74</v>
      </c>
      <c r="AD569" t="s">
        <v>74</v>
      </c>
      <c r="AE569" t="s">
        <v>74</v>
      </c>
      <c r="AF569" t="s">
        <v>74</v>
      </c>
      <c r="AG569">
        <v>47</v>
      </c>
      <c r="AH569">
        <v>74</v>
      </c>
      <c r="AI569">
        <v>88</v>
      </c>
      <c r="AJ569">
        <v>1</v>
      </c>
      <c r="AK569">
        <v>31</v>
      </c>
      <c r="AL569" t="s">
        <v>9562</v>
      </c>
      <c r="AM569" t="s">
        <v>2764</v>
      </c>
      <c r="AN569" t="s">
        <v>9563</v>
      </c>
      <c r="AO569" t="s">
        <v>9512</v>
      </c>
      <c r="AP569" t="s">
        <v>74</v>
      </c>
      <c r="AQ569" t="s">
        <v>74</v>
      </c>
      <c r="AR569" t="s">
        <v>9514</v>
      </c>
      <c r="AS569" t="s">
        <v>9515</v>
      </c>
      <c r="AT569" t="s">
        <v>9266</v>
      </c>
      <c r="AU569">
        <v>2007</v>
      </c>
      <c r="AV569">
        <v>17</v>
      </c>
      <c r="AW569" t="s">
        <v>74</v>
      </c>
      <c r="AX569" t="s">
        <v>74</v>
      </c>
      <c r="AY569">
        <v>1</v>
      </c>
      <c r="AZ569" t="s">
        <v>74</v>
      </c>
      <c r="BA569" t="s">
        <v>74</v>
      </c>
      <c r="BB569" t="s">
        <v>9564</v>
      </c>
      <c r="BC569" t="s">
        <v>9565</v>
      </c>
      <c r="BD569" t="s">
        <v>74</v>
      </c>
      <c r="BE569" t="s">
        <v>9566</v>
      </c>
      <c r="BF569" t="str">
        <f>HYPERLINK("http://dx.doi.org/10.1002/aqc.917","http://dx.doi.org/10.1002/aqc.917")</f>
        <v>http://dx.doi.org/10.1002/aqc.917</v>
      </c>
      <c r="BG569" t="s">
        <v>74</v>
      </c>
      <c r="BH569" t="s">
        <v>74</v>
      </c>
      <c r="BI569">
        <v>9</v>
      </c>
      <c r="BJ569" t="s">
        <v>9519</v>
      </c>
      <c r="BK569" t="s">
        <v>8389</v>
      </c>
      <c r="BL569" t="s">
        <v>9520</v>
      </c>
      <c r="BM569" t="s">
        <v>9521</v>
      </c>
      <c r="BN569" t="s">
        <v>74</v>
      </c>
      <c r="BO569" t="s">
        <v>179</v>
      </c>
      <c r="BP569" t="s">
        <v>74</v>
      </c>
      <c r="BQ569" t="s">
        <v>74</v>
      </c>
      <c r="BR569" t="s">
        <v>100</v>
      </c>
      <c r="BS569" t="s">
        <v>9567</v>
      </c>
      <c r="BT569" t="str">
        <f>HYPERLINK("https%3A%2F%2Fwww.webofscience.com%2Fwos%2Fwoscc%2Ffull-record%2FWOS:000253679300005","View Full Record in Web of Science")</f>
        <v>View Full Record in Web of Science</v>
      </c>
    </row>
    <row r="570" spans="1:72" x14ac:dyDescent="0.15">
      <c r="A570" t="s">
        <v>72</v>
      </c>
      <c r="B570" t="s">
        <v>9568</v>
      </c>
      <c r="C570" t="s">
        <v>74</v>
      </c>
      <c r="D570" t="s">
        <v>74</v>
      </c>
      <c r="E570" t="s">
        <v>74</v>
      </c>
      <c r="F570" t="s">
        <v>9569</v>
      </c>
      <c r="G570" t="s">
        <v>74</v>
      </c>
      <c r="H570" t="s">
        <v>74</v>
      </c>
      <c r="I570" t="s">
        <v>9570</v>
      </c>
      <c r="J570" t="s">
        <v>9501</v>
      </c>
      <c r="K570" t="s">
        <v>74</v>
      </c>
      <c r="L570" t="s">
        <v>74</v>
      </c>
      <c r="M570" t="s">
        <v>78</v>
      </c>
      <c r="N570" t="s">
        <v>1602</v>
      </c>
      <c r="O570" t="s">
        <v>9502</v>
      </c>
      <c r="P570" t="s">
        <v>9503</v>
      </c>
      <c r="Q570" t="s">
        <v>9504</v>
      </c>
      <c r="R570" t="s">
        <v>74</v>
      </c>
      <c r="S570" t="s">
        <v>74</v>
      </c>
      <c r="T570" t="s">
        <v>9571</v>
      </c>
      <c r="U570" t="s">
        <v>9572</v>
      </c>
      <c r="V570" t="s">
        <v>9573</v>
      </c>
      <c r="W570" t="s">
        <v>9574</v>
      </c>
      <c r="X570" t="s">
        <v>9438</v>
      </c>
      <c r="Y570" t="s">
        <v>9575</v>
      </c>
      <c r="Z570" t="s">
        <v>9576</v>
      </c>
      <c r="AA570" t="s">
        <v>9577</v>
      </c>
      <c r="AB570" t="s">
        <v>74</v>
      </c>
      <c r="AC570" t="s">
        <v>74</v>
      </c>
      <c r="AD570" t="s">
        <v>74</v>
      </c>
      <c r="AE570" t="s">
        <v>74</v>
      </c>
      <c r="AF570" t="s">
        <v>74</v>
      </c>
      <c r="AG570">
        <v>39</v>
      </c>
      <c r="AH570">
        <v>1</v>
      </c>
      <c r="AI570">
        <v>1</v>
      </c>
      <c r="AJ570">
        <v>0</v>
      </c>
      <c r="AK570">
        <v>10</v>
      </c>
      <c r="AL570" t="s">
        <v>1219</v>
      </c>
      <c r="AM570" t="s">
        <v>89</v>
      </c>
      <c r="AN570" t="s">
        <v>90</v>
      </c>
      <c r="AO570" t="s">
        <v>9512</v>
      </c>
      <c r="AP570" t="s">
        <v>9513</v>
      </c>
      <c r="AQ570" t="s">
        <v>74</v>
      </c>
      <c r="AR570" t="s">
        <v>9514</v>
      </c>
      <c r="AS570" t="s">
        <v>9515</v>
      </c>
      <c r="AT570" t="s">
        <v>9266</v>
      </c>
      <c r="AU570">
        <v>2007</v>
      </c>
      <c r="AV570">
        <v>17</v>
      </c>
      <c r="AW570" t="s">
        <v>74</v>
      </c>
      <c r="AX570" t="s">
        <v>74</v>
      </c>
      <c r="AY570">
        <v>1</v>
      </c>
      <c r="AZ570" t="s">
        <v>74</v>
      </c>
      <c r="BA570" t="s">
        <v>74</v>
      </c>
      <c r="BB570" t="s">
        <v>9578</v>
      </c>
      <c r="BC570" t="s">
        <v>9579</v>
      </c>
      <c r="BD570" t="s">
        <v>74</v>
      </c>
      <c r="BE570" t="s">
        <v>9580</v>
      </c>
      <c r="BF570" t="str">
        <f>HYPERLINK("http://dx.doi.org/10.1002/aqc.916","http://dx.doi.org/10.1002/aqc.916")</f>
        <v>http://dx.doi.org/10.1002/aqc.916</v>
      </c>
      <c r="BG570" t="s">
        <v>74</v>
      </c>
      <c r="BH570" t="s">
        <v>74</v>
      </c>
      <c r="BI570">
        <v>17</v>
      </c>
      <c r="BJ570" t="s">
        <v>9519</v>
      </c>
      <c r="BK570" t="s">
        <v>1616</v>
      </c>
      <c r="BL570" t="s">
        <v>9520</v>
      </c>
      <c r="BM570" t="s">
        <v>9521</v>
      </c>
      <c r="BN570" t="s">
        <v>74</v>
      </c>
      <c r="BO570" t="s">
        <v>74</v>
      </c>
      <c r="BP570" t="s">
        <v>74</v>
      </c>
      <c r="BQ570" t="s">
        <v>74</v>
      </c>
      <c r="BR570" t="s">
        <v>100</v>
      </c>
      <c r="BS570" t="s">
        <v>9581</v>
      </c>
      <c r="BT570" t="str">
        <f>HYPERLINK("https%3A%2F%2Fwww.webofscience.com%2Fwos%2Fwoscc%2Ffull-record%2FWOS:000253679300012","View Full Record in Web of Science")</f>
        <v>View Full Record in Web of Science</v>
      </c>
    </row>
    <row r="571" spans="1:72" x14ac:dyDescent="0.15">
      <c r="A571" t="s">
        <v>72</v>
      </c>
      <c r="B571" t="s">
        <v>9582</v>
      </c>
      <c r="C571" t="s">
        <v>74</v>
      </c>
      <c r="D571" t="s">
        <v>74</v>
      </c>
      <c r="E571" t="s">
        <v>74</v>
      </c>
      <c r="F571" t="s">
        <v>9583</v>
      </c>
      <c r="G571" t="s">
        <v>74</v>
      </c>
      <c r="H571" t="s">
        <v>74</v>
      </c>
      <c r="I571" t="s">
        <v>9584</v>
      </c>
      <c r="J571" t="s">
        <v>9501</v>
      </c>
      <c r="K571" t="s">
        <v>74</v>
      </c>
      <c r="L571" t="s">
        <v>74</v>
      </c>
      <c r="M571" t="s">
        <v>78</v>
      </c>
      <c r="N571" t="s">
        <v>1602</v>
      </c>
      <c r="O571" t="s">
        <v>9502</v>
      </c>
      <c r="P571" t="s">
        <v>9503</v>
      </c>
      <c r="Q571" t="s">
        <v>9504</v>
      </c>
      <c r="R571" t="s">
        <v>74</v>
      </c>
      <c r="S571" t="s">
        <v>74</v>
      </c>
      <c r="T571" t="s">
        <v>74</v>
      </c>
      <c r="U571" t="s">
        <v>9585</v>
      </c>
      <c r="V571" t="s">
        <v>74</v>
      </c>
      <c r="W571" t="s">
        <v>9586</v>
      </c>
      <c r="X571" t="s">
        <v>9587</v>
      </c>
      <c r="Y571" t="s">
        <v>9588</v>
      </c>
      <c r="Z571" t="s">
        <v>9589</v>
      </c>
      <c r="AA571" t="s">
        <v>74</v>
      </c>
      <c r="AB571" t="s">
        <v>74</v>
      </c>
      <c r="AC571" t="s">
        <v>74</v>
      </c>
      <c r="AD571" t="s">
        <v>74</v>
      </c>
      <c r="AE571" t="s">
        <v>74</v>
      </c>
      <c r="AF571" t="s">
        <v>74</v>
      </c>
      <c r="AG571">
        <v>8</v>
      </c>
      <c r="AH571">
        <v>2</v>
      </c>
      <c r="AI571">
        <v>2</v>
      </c>
      <c r="AJ571">
        <v>0</v>
      </c>
      <c r="AK571">
        <v>7</v>
      </c>
      <c r="AL571" t="s">
        <v>1219</v>
      </c>
      <c r="AM571" t="s">
        <v>89</v>
      </c>
      <c r="AN571" t="s">
        <v>90</v>
      </c>
      <c r="AO571" t="s">
        <v>9512</v>
      </c>
      <c r="AP571" t="s">
        <v>9513</v>
      </c>
      <c r="AQ571" t="s">
        <v>74</v>
      </c>
      <c r="AR571" t="s">
        <v>9514</v>
      </c>
      <c r="AS571" t="s">
        <v>9515</v>
      </c>
      <c r="AT571" t="s">
        <v>9266</v>
      </c>
      <c r="AU571">
        <v>2007</v>
      </c>
      <c r="AV571">
        <v>17</v>
      </c>
      <c r="AW571" t="s">
        <v>74</v>
      </c>
      <c r="AX571" t="s">
        <v>74</v>
      </c>
      <c r="AY571">
        <v>1</v>
      </c>
      <c r="AZ571" t="s">
        <v>74</v>
      </c>
      <c r="BA571" t="s">
        <v>74</v>
      </c>
      <c r="BB571" t="s">
        <v>9590</v>
      </c>
      <c r="BC571" t="s">
        <v>9591</v>
      </c>
      <c r="BD571" t="s">
        <v>74</v>
      </c>
      <c r="BE571" t="s">
        <v>9592</v>
      </c>
      <c r="BF571" t="str">
        <f>HYPERLINK("http://dx.doi.org/10.1002/aqc.926","http://dx.doi.org/10.1002/aqc.926")</f>
        <v>http://dx.doi.org/10.1002/aqc.926</v>
      </c>
      <c r="BG571" t="s">
        <v>74</v>
      </c>
      <c r="BH571" t="s">
        <v>74</v>
      </c>
      <c r="BI571">
        <v>6</v>
      </c>
      <c r="BJ571" t="s">
        <v>9519</v>
      </c>
      <c r="BK571" t="s">
        <v>1616</v>
      </c>
      <c r="BL571" t="s">
        <v>9520</v>
      </c>
      <c r="BM571" t="s">
        <v>9521</v>
      </c>
      <c r="BN571" t="s">
        <v>74</v>
      </c>
      <c r="BO571" t="s">
        <v>74</v>
      </c>
      <c r="BP571" t="s">
        <v>74</v>
      </c>
      <c r="BQ571" t="s">
        <v>74</v>
      </c>
      <c r="BR571" t="s">
        <v>100</v>
      </c>
      <c r="BS571" t="s">
        <v>9593</v>
      </c>
      <c r="BT571" t="str">
        <f>HYPERLINK("https%3A%2F%2Fwww.webofscience.com%2Fwos%2Fwoscc%2Ffull-record%2FWOS:000253679300013","View Full Record in Web of Science")</f>
        <v>View Full Record in Web of Science</v>
      </c>
    </row>
    <row r="572" spans="1:72" x14ac:dyDescent="0.15">
      <c r="A572" t="s">
        <v>72</v>
      </c>
      <c r="B572" t="s">
        <v>9594</v>
      </c>
      <c r="C572" t="s">
        <v>74</v>
      </c>
      <c r="D572" t="s">
        <v>74</v>
      </c>
      <c r="E572" t="s">
        <v>74</v>
      </c>
      <c r="F572" t="s">
        <v>9595</v>
      </c>
      <c r="G572" t="s">
        <v>74</v>
      </c>
      <c r="H572" t="s">
        <v>74</v>
      </c>
      <c r="I572" t="s">
        <v>9596</v>
      </c>
      <c r="J572" t="s">
        <v>9501</v>
      </c>
      <c r="K572" t="s">
        <v>74</v>
      </c>
      <c r="L572" t="s">
        <v>74</v>
      </c>
      <c r="M572" t="s">
        <v>78</v>
      </c>
      <c r="N572" t="s">
        <v>1602</v>
      </c>
      <c r="O572" t="s">
        <v>9502</v>
      </c>
      <c r="P572" t="s">
        <v>9503</v>
      </c>
      <c r="Q572" t="s">
        <v>9504</v>
      </c>
      <c r="R572" t="s">
        <v>74</v>
      </c>
      <c r="S572" t="s">
        <v>74</v>
      </c>
      <c r="T572" t="s">
        <v>9597</v>
      </c>
      <c r="U572" t="s">
        <v>9598</v>
      </c>
      <c r="V572" t="s">
        <v>9599</v>
      </c>
      <c r="W572" t="s">
        <v>9600</v>
      </c>
      <c r="X572" t="s">
        <v>9601</v>
      </c>
      <c r="Y572" t="s">
        <v>9602</v>
      </c>
      <c r="Z572" t="s">
        <v>9603</v>
      </c>
      <c r="AA572" t="s">
        <v>9604</v>
      </c>
      <c r="AB572" t="s">
        <v>9605</v>
      </c>
      <c r="AC572" t="s">
        <v>6055</v>
      </c>
      <c r="AD572" t="s">
        <v>444</v>
      </c>
      <c r="AE572" t="s">
        <v>74</v>
      </c>
      <c r="AF572" t="s">
        <v>74</v>
      </c>
      <c r="AG572">
        <v>53</v>
      </c>
      <c r="AH572">
        <v>73</v>
      </c>
      <c r="AI572">
        <v>77</v>
      </c>
      <c r="AJ572">
        <v>0</v>
      </c>
      <c r="AK572">
        <v>38</v>
      </c>
      <c r="AL572" t="s">
        <v>1219</v>
      </c>
      <c r="AM572" t="s">
        <v>89</v>
      </c>
      <c r="AN572" t="s">
        <v>90</v>
      </c>
      <c r="AO572" t="s">
        <v>9512</v>
      </c>
      <c r="AP572" t="s">
        <v>9513</v>
      </c>
      <c r="AQ572" t="s">
        <v>74</v>
      </c>
      <c r="AR572" t="s">
        <v>9514</v>
      </c>
      <c r="AS572" t="s">
        <v>9515</v>
      </c>
      <c r="AT572" t="s">
        <v>9266</v>
      </c>
      <c r="AU572">
        <v>2007</v>
      </c>
      <c r="AV572">
        <v>17</v>
      </c>
      <c r="AW572" t="s">
        <v>74</v>
      </c>
      <c r="AX572" t="s">
        <v>74</v>
      </c>
      <c r="AY572">
        <v>1</v>
      </c>
      <c r="AZ572" t="s">
        <v>74</v>
      </c>
      <c r="BA572" t="s">
        <v>74</v>
      </c>
      <c r="BB572" t="s">
        <v>9606</v>
      </c>
      <c r="BC572" t="s">
        <v>9607</v>
      </c>
      <c r="BD572" t="s">
        <v>74</v>
      </c>
      <c r="BE572" t="s">
        <v>9608</v>
      </c>
      <c r="BF572" t="str">
        <f>HYPERLINK("http://dx.doi.org/10.1002/aqc.911","http://dx.doi.org/10.1002/aqc.911")</f>
        <v>http://dx.doi.org/10.1002/aqc.911</v>
      </c>
      <c r="BG572" t="s">
        <v>74</v>
      </c>
      <c r="BH572" t="s">
        <v>74</v>
      </c>
      <c r="BI572">
        <v>15</v>
      </c>
      <c r="BJ572" t="s">
        <v>9519</v>
      </c>
      <c r="BK572" t="s">
        <v>1616</v>
      </c>
      <c r="BL572" t="s">
        <v>9520</v>
      </c>
      <c r="BM572" t="s">
        <v>9521</v>
      </c>
      <c r="BN572" t="s">
        <v>74</v>
      </c>
      <c r="BO572" t="s">
        <v>74</v>
      </c>
      <c r="BP572" t="s">
        <v>74</v>
      </c>
      <c r="BQ572" t="s">
        <v>74</v>
      </c>
      <c r="BR572" t="s">
        <v>100</v>
      </c>
      <c r="BS572" t="s">
        <v>9609</v>
      </c>
      <c r="BT572" t="str">
        <f>HYPERLINK("https%3A%2F%2Fwww.webofscience.com%2Fwos%2Fwoscc%2Ffull-record%2FWOS:000253679300003","View Full Record in Web of Science")</f>
        <v>View Full Record in Web of Science</v>
      </c>
    </row>
    <row r="573" spans="1:72" x14ac:dyDescent="0.15">
      <c r="A573" t="s">
        <v>72</v>
      </c>
      <c r="B573" t="s">
        <v>9610</v>
      </c>
      <c r="C573" t="s">
        <v>74</v>
      </c>
      <c r="D573" t="s">
        <v>74</v>
      </c>
      <c r="E573" t="s">
        <v>74</v>
      </c>
      <c r="F573" t="s">
        <v>9611</v>
      </c>
      <c r="G573" t="s">
        <v>74</v>
      </c>
      <c r="H573" t="s">
        <v>74</v>
      </c>
      <c r="I573" t="s">
        <v>9612</v>
      </c>
      <c r="J573" t="s">
        <v>9501</v>
      </c>
      <c r="K573" t="s">
        <v>74</v>
      </c>
      <c r="L573" t="s">
        <v>74</v>
      </c>
      <c r="M573" t="s">
        <v>78</v>
      </c>
      <c r="N573" t="s">
        <v>1602</v>
      </c>
      <c r="O573" t="s">
        <v>9502</v>
      </c>
      <c r="P573" t="s">
        <v>9503</v>
      </c>
      <c r="Q573" t="s">
        <v>9504</v>
      </c>
      <c r="R573" t="s">
        <v>74</v>
      </c>
      <c r="S573" t="s">
        <v>74</v>
      </c>
      <c r="T573" t="s">
        <v>9613</v>
      </c>
      <c r="U573" t="s">
        <v>9614</v>
      </c>
      <c r="V573" t="s">
        <v>9615</v>
      </c>
      <c r="W573" t="s">
        <v>9616</v>
      </c>
      <c r="X573" t="s">
        <v>9617</v>
      </c>
      <c r="Y573" t="s">
        <v>9618</v>
      </c>
      <c r="Z573" t="s">
        <v>9619</v>
      </c>
      <c r="AA573" t="s">
        <v>9620</v>
      </c>
      <c r="AB573" t="s">
        <v>9621</v>
      </c>
      <c r="AC573" t="s">
        <v>74</v>
      </c>
      <c r="AD573" t="s">
        <v>74</v>
      </c>
      <c r="AE573" t="s">
        <v>74</v>
      </c>
      <c r="AF573" t="s">
        <v>74</v>
      </c>
      <c r="AG573">
        <v>47</v>
      </c>
      <c r="AH573">
        <v>23</v>
      </c>
      <c r="AI573">
        <v>30</v>
      </c>
      <c r="AJ573">
        <v>0</v>
      </c>
      <c r="AK573">
        <v>15</v>
      </c>
      <c r="AL573" t="s">
        <v>1219</v>
      </c>
      <c r="AM573" t="s">
        <v>89</v>
      </c>
      <c r="AN573" t="s">
        <v>90</v>
      </c>
      <c r="AO573" t="s">
        <v>9512</v>
      </c>
      <c r="AP573" t="s">
        <v>9513</v>
      </c>
      <c r="AQ573" t="s">
        <v>74</v>
      </c>
      <c r="AR573" t="s">
        <v>9514</v>
      </c>
      <c r="AS573" t="s">
        <v>9515</v>
      </c>
      <c r="AT573" t="s">
        <v>9266</v>
      </c>
      <c r="AU573">
        <v>2007</v>
      </c>
      <c r="AV573">
        <v>17</v>
      </c>
      <c r="AW573" t="s">
        <v>74</v>
      </c>
      <c r="AX573" t="s">
        <v>74</v>
      </c>
      <c r="AY573">
        <v>1</v>
      </c>
      <c r="AZ573" t="s">
        <v>74</v>
      </c>
      <c r="BA573" t="s">
        <v>74</v>
      </c>
      <c r="BB573" t="s">
        <v>9622</v>
      </c>
      <c r="BC573" t="s">
        <v>9623</v>
      </c>
      <c r="BD573" t="s">
        <v>74</v>
      </c>
      <c r="BE573" t="s">
        <v>9624</v>
      </c>
      <c r="BF573" t="str">
        <f>HYPERLINK("http://dx.doi.org/10.1002/aqc.915","http://dx.doi.org/10.1002/aqc.915")</f>
        <v>http://dx.doi.org/10.1002/aqc.915</v>
      </c>
      <c r="BG573" t="s">
        <v>74</v>
      </c>
      <c r="BH573" t="s">
        <v>74</v>
      </c>
      <c r="BI573">
        <v>11</v>
      </c>
      <c r="BJ573" t="s">
        <v>9519</v>
      </c>
      <c r="BK573" t="s">
        <v>1616</v>
      </c>
      <c r="BL573" t="s">
        <v>9520</v>
      </c>
      <c r="BM573" t="s">
        <v>9521</v>
      </c>
      <c r="BN573" t="s">
        <v>74</v>
      </c>
      <c r="BO573" t="s">
        <v>74</v>
      </c>
      <c r="BP573" t="s">
        <v>74</v>
      </c>
      <c r="BQ573" t="s">
        <v>74</v>
      </c>
      <c r="BR573" t="s">
        <v>100</v>
      </c>
      <c r="BS573" t="s">
        <v>9625</v>
      </c>
      <c r="BT573" t="str">
        <f>HYPERLINK("https%3A%2F%2Fwww.webofscience.com%2Fwos%2Fwoscc%2Ffull-record%2FWOS:000253679300007","View Full Record in Web of Science")</f>
        <v>View Full Record in Web of Science</v>
      </c>
    </row>
    <row r="574" spans="1:72" x14ac:dyDescent="0.15">
      <c r="A574" t="s">
        <v>72</v>
      </c>
      <c r="B574" t="s">
        <v>9626</v>
      </c>
      <c r="C574" t="s">
        <v>74</v>
      </c>
      <c r="D574" t="s">
        <v>74</v>
      </c>
      <c r="E574" t="s">
        <v>74</v>
      </c>
      <c r="F574" t="s">
        <v>9627</v>
      </c>
      <c r="G574" t="s">
        <v>74</v>
      </c>
      <c r="H574" t="s">
        <v>74</v>
      </c>
      <c r="I574" t="s">
        <v>9628</v>
      </c>
      <c r="J574" t="s">
        <v>9501</v>
      </c>
      <c r="K574" t="s">
        <v>74</v>
      </c>
      <c r="L574" t="s">
        <v>74</v>
      </c>
      <c r="M574" t="s">
        <v>78</v>
      </c>
      <c r="N574" t="s">
        <v>1602</v>
      </c>
      <c r="O574" t="s">
        <v>9502</v>
      </c>
      <c r="P574" t="s">
        <v>9503</v>
      </c>
      <c r="Q574" t="s">
        <v>9504</v>
      </c>
      <c r="R574" t="s">
        <v>74</v>
      </c>
      <c r="S574" t="s">
        <v>74</v>
      </c>
      <c r="T574" t="s">
        <v>9629</v>
      </c>
      <c r="U574" t="s">
        <v>9630</v>
      </c>
      <c r="V574" t="s">
        <v>9631</v>
      </c>
      <c r="W574" t="s">
        <v>9632</v>
      </c>
      <c r="X574" t="s">
        <v>9398</v>
      </c>
      <c r="Y574" t="s">
        <v>9633</v>
      </c>
      <c r="Z574" t="s">
        <v>9634</v>
      </c>
      <c r="AA574" t="s">
        <v>74</v>
      </c>
      <c r="AB574" t="s">
        <v>9635</v>
      </c>
      <c r="AC574" t="s">
        <v>74</v>
      </c>
      <c r="AD574" t="s">
        <v>74</v>
      </c>
      <c r="AE574" t="s">
        <v>74</v>
      </c>
      <c r="AF574" t="s">
        <v>74</v>
      </c>
      <c r="AG574">
        <v>11</v>
      </c>
      <c r="AH574">
        <v>17</v>
      </c>
      <c r="AI574">
        <v>19</v>
      </c>
      <c r="AJ574">
        <v>2</v>
      </c>
      <c r="AK574">
        <v>33</v>
      </c>
      <c r="AL574" t="s">
        <v>9562</v>
      </c>
      <c r="AM574" t="s">
        <v>2764</v>
      </c>
      <c r="AN574" t="s">
        <v>9563</v>
      </c>
      <c r="AO574" t="s">
        <v>9512</v>
      </c>
      <c r="AP574" t="s">
        <v>74</v>
      </c>
      <c r="AQ574" t="s">
        <v>74</v>
      </c>
      <c r="AR574" t="s">
        <v>9514</v>
      </c>
      <c r="AS574" t="s">
        <v>9515</v>
      </c>
      <c r="AT574" t="s">
        <v>9266</v>
      </c>
      <c r="AU574">
        <v>2007</v>
      </c>
      <c r="AV574">
        <v>17</v>
      </c>
      <c r="AW574" t="s">
        <v>74</v>
      </c>
      <c r="AX574" t="s">
        <v>74</v>
      </c>
      <c r="AY574">
        <v>1</v>
      </c>
      <c r="AZ574" t="s">
        <v>74</v>
      </c>
      <c r="BA574" t="s">
        <v>74</v>
      </c>
      <c r="BB574" t="s">
        <v>9636</v>
      </c>
      <c r="BC574" t="s">
        <v>9637</v>
      </c>
      <c r="BD574" t="s">
        <v>74</v>
      </c>
      <c r="BE574" t="s">
        <v>9638</v>
      </c>
      <c r="BF574" t="str">
        <f>HYPERLINK("http://dx.doi.org/10.1002/aqc.930","http://dx.doi.org/10.1002/aqc.930")</f>
        <v>http://dx.doi.org/10.1002/aqc.930</v>
      </c>
      <c r="BG574" t="s">
        <v>74</v>
      </c>
      <c r="BH574" t="s">
        <v>74</v>
      </c>
      <c r="BI574">
        <v>7</v>
      </c>
      <c r="BJ574" t="s">
        <v>9519</v>
      </c>
      <c r="BK574" t="s">
        <v>8389</v>
      </c>
      <c r="BL574" t="s">
        <v>9520</v>
      </c>
      <c r="BM574" t="s">
        <v>9521</v>
      </c>
      <c r="BN574" t="s">
        <v>74</v>
      </c>
      <c r="BO574" t="s">
        <v>74</v>
      </c>
      <c r="BP574" t="s">
        <v>74</v>
      </c>
      <c r="BQ574" t="s">
        <v>74</v>
      </c>
      <c r="BR574" t="s">
        <v>100</v>
      </c>
      <c r="BS574" t="s">
        <v>9639</v>
      </c>
      <c r="BT574" t="str">
        <f>HYPERLINK("https%3A%2F%2Fwww.webofscience.com%2Fwos%2Fwoscc%2Ffull-record%2FWOS:000253679300004","View Full Record in Web of Science")</f>
        <v>View Full Record in Web of Science</v>
      </c>
    </row>
    <row r="575" spans="1:72" x14ac:dyDescent="0.15">
      <c r="A575" t="s">
        <v>72</v>
      </c>
      <c r="B575" t="s">
        <v>9640</v>
      </c>
      <c r="C575" t="s">
        <v>74</v>
      </c>
      <c r="D575" t="s">
        <v>74</v>
      </c>
      <c r="E575" t="s">
        <v>74</v>
      </c>
      <c r="F575" t="s">
        <v>9641</v>
      </c>
      <c r="G575" t="s">
        <v>74</v>
      </c>
      <c r="H575" t="s">
        <v>74</v>
      </c>
      <c r="I575" t="s">
        <v>9642</v>
      </c>
      <c r="J575" t="s">
        <v>9501</v>
      </c>
      <c r="K575" t="s">
        <v>74</v>
      </c>
      <c r="L575" t="s">
        <v>74</v>
      </c>
      <c r="M575" t="s">
        <v>78</v>
      </c>
      <c r="N575" t="s">
        <v>1602</v>
      </c>
      <c r="O575" t="s">
        <v>9502</v>
      </c>
      <c r="P575" t="s">
        <v>9503</v>
      </c>
      <c r="Q575" t="s">
        <v>9504</v>
      </c>
      <c r="R575" t="s">
        <v>74</v>
      </c>
      <c r="S575" t="s">
        <v>74</v>
      </c>
      <c r="T575" t="s">
        <v>9643</v>
      </c>
      <c r="U575" t="s">
        <v>9644</v>
      </c>
      <c r="V575" t="s">
        <v>9645</v>
      </c>
      <c r="W575" t="s">
        <v>9646</v>
      </c>
      <c r="X575" t="s">
        <v>440</v>
      </c>
      <c r="Y575" t="s">
        <v>9647</v>
      </c>
      <c r="Z575" t="s">
        <v>9648</v>
      </c>
      <c r="AA575" t="s">
        <v>74</v>
      </c>
      <c r="AB575" t="s">
        <v>74</v>
      </c>
      <c r="AC575" t="s">
        <v>6055</v>
      </c>
      <c r="AD575" t="s">
        <v>444</v>
      </c>
      <c r="AE575" t="s">
        <v>74</v>
      </c>
      <c r="AF575" t="s">
        <v>74</v>
      </c>
      <c r="AG575">
        <v>78</v>
      </c>
      <c r="AH575">
        <v>80</v>
      </c>
      <c r="AI575">
        <v>88</v>
      </c>
      <c r="AJ575">
        <v>3</v>
      </c>
      <c r="AK575">
        <v>74</v>
      </c>
      <c r="AL575" t="s">
        <v>1219</v>
      </c>
      <c r="AM575" t="s">
        <v>89</v>
      </c>
      <c r="AN575" t="s">
        <v>90</v>
      </c>
      <c r="AO575" t="s">
        <v>9512</v>
      </c>
      <c r="AP575" t="s">
        <v>9513</v>
      </c>
      <c r="AQ575" t="s">
        <v>74</v>
      </c>
      <c r="AR575" t="s">
        <v>9514</v>
      </c>
      <c r="AS575" t="s">
        <v>9515</v>
      </c>
      <c r="AT575" t="s">
        <v>9266</v>
      </c>
      <c r="AU575">
        <v>2007</v>
      </c>
      <c r="AV575">
        <v>17</v>
      </c>
      <c r="AW575" t="s">
        <v>74</v>
      </c>
      <c r="AX575" t="s">
        <v>74</v>
      </c>
      <c r="AY575">
        <v>1</v>
      </c>
      <c r="AZ575" t="s">
        <v>74</v>
      </c>
      <c r="BA575" t="s">
        <v>74</v>
      </c>
      <c r="BB575" t="s">
        <v>9649</v>
      </c>
      <c r="BC575" t="s">
        <v>9650</v>
      </c>
      <c r="BD575" t="s">
        <v>74</v>
      </c>
      <c r="BE575" t="s">
        <v>9651</v>
      </c>
      <c r="BF575" t="str">
        <f>HYPERLINK("http://dx.doi.org/10.1002/aqc.906","http://dx.doi.org/10.1002/aqc.906")</f>
        <v>http://dx.doi.org/10.1002/aqc.906</v>
      </c>
      <c r="BG575" t="s">
        <v>74</v>
      </c>
      <c r="BH575" t="s">
        <v>74</v>
      </c>
      <c r="BI575">
        <v>16</v>
      </c>
      <c r="BJ575" t="s">
        <v>9519</v>
      </c>
      <c r="BK575" t="s">
        <v>1616</v>
      </c>
      <c r="BL575" t="s">
        <v>9520</v>
      </c>
      <c r="BM575" t="s">
        <v>9521</v>
      </c>
      <c r="BN575" t="s">
        <v>74</v>
      </c>
      <c r="BO575" t="s">
        <v>74</v>
      </c>
      <c r="BP575" t="s">
        <v>74</v>
      </c>
      <c r="BQ575" t="s">
        <v>74</v>
      </c>
      <c r="BR575" t="s">
        <v>100</v>
      </c>
      <c r="BS575" t="s">
        <v>9652</v>
      </c>
      <c r="BT575" t="str">
        <f>HYPERLINK("https%3A%2F%2Fwww.webofscience.com%2Fwos%2Fwoscc%2Ffull-record%2FWOS:000253679300002","View Full Record in Web of Science")</f>
        <v>View Full Record in Web of Science</v>
      </c>
    </row>
    <row r="576" spans="1:72" x14ac:dyDescent="0.15">
      <c r="A576" t="s">
        <v>72</v>
      </c>
      <c r="B576" t="s">
        <v>9653</v>
      </c>
      <c r="C576" t="s">
        <v>74</v>
      </c>
      <c r="D576" t="s">
        <v>74</v>
      </c>
      <c r="E576" t="s">
        <v>74</v>
      </c>
      <c r="F576" t="s">
        <v>9654</v>
      </c>
      <c r="G576" t="s">
        <v>74</v>
      </c>
      <c r="H576" t="s">
        <v>74</v>
      </c>
      <c r="I576" t="s">
        <v>9655</v>
      </c>
      <c r="J576" t="s">
        <v>9501</v>
      </c>
      <c r="K576" t="s">
        <v>74</v>
      </c>
      <c r="L576" t="s">
        <v>74</v>
      </c>
      <c r="M576" t="s">
        <v>78</v>
      </c>
      <c r="N576" t="s">
        <v>1602</v>
      </c>
      <c r="O576" t="s">
        <v>9502</v>
      </c>
      <c r="P576" t="s">
        <v>9503</v>
      </c>
      <c r="Q576" t="s">
        <v>9504</v>
      </c>
      <c r="R576" t="s">
        <v>74</v>
      </c>
      <c r="S576" t="s">
        <v>74</v>
      </c>
      <c r="T576" t="s">
        <v>9656</v>
      </c>
      <c r="U576" t="s">
        <v>9657</v>
      </c>
      <c r="V576" t="s">
        <v>9658</v>
      </c>
      <c r="W576" t="s">
        <v>9659</v>
      </c>
      <c r="X576" t="s">
        <v>440</v>
      </c>
      <c r="Y576" t="s">
        <v>9660</v>
      </c>
      <c r="Z576" t="s">
        <v>9661</v>
      </c>
      <c r="AA576" t="s">
        <v>8700</v>
      </c>
      <c r="AB576" t="s">
        <v>74</v>
      </c>
      <c r="AC576" t="s">
        <v>6055</v>
      </c>
      <c r="AD576" t="s">
        <v>444</v>
      </c>
      <c r="AE576" t="s">
        <v>74</v>
      </c>
      <c r="AF576" t="s">
        <v>74</v>
      </c>
      <c r="AG576">
        <v>38</v>
      </c>
      <c r="AH576">
        <v>5</v>
      </c>
      <c r="AI576">
        <v>5</v>
      </c>
      <c r="AJ576">
        <v>1</v>
      </c>
      <c r="AK576">
        <v>12</v>
      </c>
      <c r="AL576" t="s">
        <v>1219</v>
      </c>
      <c r="AM576" t="s">
        <v>89</v>
      </c>
      <c r="AN576" t="s">
        <v>90</v>
      </c>
      <c r="AO576" t="s">
        <v>9512</v>
      </c>
      <c r="AP576" t="s">
        <v>9513</v>
      </c>
      <c r="AQ576" t="s">
        <v>74</v>
      </c>
      <c r="AR576" t="s">
        <v>9514</v>
      </c>
      <c r="AS576" t="s">
        <v>9515</v>
      </c>
      <c r="AT576" t="s">
        <v>9266</v>
      </c>
      <c r="AU576">
        <v>2007</v>
      </c>
      <c r="AV576">
        <v>17</v>
      </c>
      <c r="AW576" t="s">
        <v>74</v>
      </c>
      <c r="AX576" t="s">
        <v>74</v>
      </c>
      <c r="AY576">
        <v>1</v>
      </c>
      <c r="AZ576" t="s">
        <v>74</v>
      </c>
      <c r="BA576" t="s">
        <v>74</v>
      </c>
      <c r="BB576" t="s">
        <v>9662</v>
      </c>
      <c r="BC576" t="s">
        <v>9663</v>
      </c>
      <c r="BD576" t="s">
        <v>74</v>
      </c>
      <c r="BE576" t="s">
        <v>9664</v>
      </c>
      <c r="BF576" t="str">
        <f>HYPERLINK("http://dx.doi.org/10.1002/aqc.909","http://dx.doi.org/10.1002/aqc.909")</f>
        <v>http://dx.doi.org/10.1002/aqc.909</v>
      </c>
      <c r="BG576" t="s">
        <v>74</v>
      </c>
      <c r="BH576" t="s">
        <v>74</v>
      </c>
      <c r="BI576">
        <v>14</v>
      </c>
      <c r="BJ576" t="s">
        <v>9519</v>
      </c>
      <c r="BK576" t="s">
        <v>1616</v>
      </c>
      <c r="BL576" t="s">
        <v>9520</v>
      </c>
      <c r="BM576" t="s">
        <v>9521</v>
      </c>
      <c r="BN576" t="s">
        <v>74</v>
      </c>
      <c r="BO576" t="s">
        <v>74</v>
      </c>
      <c r="BP576" t="s">
        <v>74</v>
      </c>
      <c r="BQ576" t="s">
        <v>74</v>
      </c>
      <c r="BR576" t="s">
        <v>100</v>
      </c>
      <c r="BS576" t="s">
        <v>9665</v>
      </c>
      <c r="BT576" t="str">
        <f>HYPERLINK("https%3A%2F%2Fwww.webofscience.com%2Fwos%2Fwoscc%2Ffull-record%2FWOS:000253679300008","View Full Record in Web of Science")</f>
        <v>View Full Record in Web of Science</v>
      </c>
    </row>
    <row r="577" spans="1:72" x14ac:dyDescent="0.15">
      <c r="A577" t="s">
        <v>72</v>
      </c>
      <c r="B577" t="s">
        <v>9666</v>
      </c>
      <c r="C577" t="s">
        <v>74</v>
      </c>
      <c r="D577" t="s">
        <v>74</v>
      </c>
      <c r="E577" t="s">
        <v>74</v>
      </c>
      <c r="F577" t="s">
        <v>9667</v>
      </c>
      <c r="G577" t="s">
        <v>74</v>
      </c>
      <c r="H577" t="s">
        <v>74</v>
      </c>
      <c r="I577" t="s">
        <v>9668</v>
      </c>
      <c r="J577" t="s">
        <v>9501</v>
      </c>
      <c r="K577" t="s">
        <v>74</v>
      </c>
      <c r="L577" t="s">
        <v>74</v>
      </c>
      <c r="M577" t="s">
        <v>78</v>
      </c>
      <c r="N577" t="s">
        <v>438</v>
      </c>
      <c r="O577" t="s">
        <v>74</v>
      </c>
      <c r="P577" t="s">
        <v>74</v>
      </c>
      <c r="Q577" t="s">
        <v>74</v>
      </c>
      <c r="R577" t="s">
        <v>74</v>
      </c>
      <c r="S577" t="s">
        <v>74</v>
      </c>
      <c r="T577" t="s">
        <v>74</v>
      </c>
      <c r="U577" t="s">
        <v>74</v>
      </c>
      <c r="V577" t="s">
        <v>74</v>
      </c>
      <c r="W577" t="s">
        <v>9669</v>
      </c>
      <c r="X577" t="s">
        <v>440</v>
      </c>
      <c r="Y577" t="s">
        <v>9670</v>
      </c>
      <c r="Z577" t="s">
        <v>6165</v>
      </c>
      <c r="AA577" t="s">
        <v>74</v>
      </c>
      <c r="AB577" t="s">
        <v>74</v>
      </c>
      <c r="AC577" t="s">
        <v>2597</v>
      </c>
      <c r="AD577" t="s">
        <v>242</v>
      </c>
      <c r="AE577" t="s">
        <v>74</v>
      </c>
      <c r="AF577" t="s">
        <v>74</v>
      </c>
      <c r="AG577">
        <v>1</v>
      </c>
      <c r="AH577">
        <v>0</v>
      </c>
      <c r="AI577">
        <v>0</v>
      </c>
      <c r="AJ577">
        <v>0</v>
      </c>
      <c r="AK577">
        <v>1</v>
      </c>
      <c r="AL577" t="s">
        <v>1219</v>
      </c>
      <c r="AM577" t="s">
        <v>89</v>
      </c>
      <c r="AN577" t="s">
        <v>90</v>
      </c>
      <c r="AO577" t="s">
        <v>9512</v>
      </c>
      <c r="AP577" t="s">
        <v>9513</v>
      </c>
      <c r="AQ577" t="s">
        <v>74</v>
      </c>
      <c r="AR577" t="s">
        <v>9514</v>
      </c>
      <c r="AS577" t="s">
        <v>9515</v>
      </c>
      <c r="AT577" t="s">
        <v>9266</v>
      </c>
      <c r="AU577">
        <v>2007</v>
      </c>
      <c r="AV577">
        <v>17</v>
      </c>
      <c r="AW577" t="s">
        <v>74</v>
      </c>
      <c r="AX577" t="s">
        <v>74</v>
      </c>
      <c r="AY577">
        <v>1</v>
      </c>
      <c r="AZ577" t="s">
        <v>74</v>
      </c>
      <c r="BA577" t="s">
        <v>74</v>
      </c>
      <c r="BB577" t="s">
        <v>9671</v>
      </c>
      <c r="BC577" t="s">
        <v>9672</v>
      </c>
      <c r="BD577" t="s">
        <v>74</v>
      </c>
      <c r="BE577" t="s">
        <v>9673</v>
      </c>
      <c r="BF577" t="str">
        <f>HYPERLINK("http://dx.doi.org/10.1002/aqc.914","http://dx.doi.org/10.1002/aqc.914")</f>
        <v>http://dx.doi.org/10.1002/aqc.914</v>
      </c>
      <c r="BG577" t="s">
        <v>74</v>
      </c>
      <c r="BH577" t="s">
        <v>74</v>
      </c>
      <c r="BI577">
        <v>4</v>
      </c>
      <c r="BJ577" t="s">
        <v>9519</v>
      </c>
      <c r="BK577" t="s">
        <v>97</v>
      </c>
      <c r="BL577" t="s">
        <v>9520</v>
      </c>
      <c r="BM577" t="s">
        <v>9521</v>
      </c>
      <c r="BN577" t="s">
        <v>74</v>
      </c>
      <c r="BO577" t="s">
        <v>74</v>
      </c>
      <c r="BP577" t="s">
        <v>74</v>
      </c>
      <c r="BQ577" t="s">
        <v>74</v>
      </c>
      <c r="BR577" t="s">
        <v>100</v>
      </c>
      <c r="BS577" t="s">
        <v>9674</v>
      </c>
      <c r="BT577" t="str">
        <f>HYPERLINK("https%3A%2F%2Fwww.webofscience.com%2Fwos%2Fwoscc%2Ffull-record%2FWOS:000253679300001","View Full Record in Web of Science")</f>
        <v>View Full Record in Web of Science</v>
      </c>
    </row>
    <row r="578" spans="1:72" x14ac:dyDescent="0.15">
      <c r="A578" t="s">
        <v>72</v>
      </c>
      <c r="B578" t="s">
        <v>9675</v>
      </c>
      <c r="C578" t="s">
        <v>74</v>
      </c>
      <c r="D578" t="s">
        <v>74</v>
      </c>
      <c r="E578" t="s">
        <v>74</v>
      </c>
      <c r="F578" t="s">
        <v>9676</v>
      </c>
      <c r="G578" t="s">
        <v>74</v>
      </c>
      <c r="H578" t="s">
        <v>74</v>
      </c>
      <c r="I578" t="s">
        <v>9677</v>
      </c>
      <c r="J578" t="s">
        <v>9501</v>
      </c>
      <c r="K578" t="s">
        <v>74</v>
      </c>
      <c r="L578" t="s">
        <v>74</v>
      </c>
      <c r="M578" t="s">
        <v>78</v>
      </c>
      <c r="N578" t="s">
        <v>1602</v>
      </c>
      <c r="O578" t="s">
        <v>9502</v>
      </c>
      <c r="P578" t="s">
        <v>9503</v>
      </c>
      <c r="Q578" t="s">
        <v>9504</v>
      </c>
      <c r="R578" t="s">
        <v>74</v>
      </c>
      <c r="S578" t="s">
        <v>74</v>
      </c>
      <c r="T578" t="s">
        <v>9678</v>
      </c>
      <c r="U578" t="s">
        <v>9679</v>
      </c>
      <c r="V578" t="s">
        <v>9680</v>
      </c>
      <c r="W578" t="s">
        <v>9681</v>
      </c>
      <c r="X578" t="s">
        <v>9682</v>
      </c>
      <c r="Y578" t="s">
        <v>9683</v>
      </c>
      <c r="Z578" t="s">
        <v>2845</v>
      </c>
      <c r="AA578" t="s">
        <v>74</v>
      </c>
      <c r="AB578" t="s">
        <v>9684</v>
      </c>
      <c r="AC578" t="s">
        <v>74</v>
      </c>
      <c r="AD578" t="s">
        <v>74</v>
      </c>
      <c r="AE578" t="s">
        <v>74</v>
      </c>
      <c r="AF578" t="s">
        <v>74</v>
      </c>
      <c r="AG578">
        <v>26</v>
      </c>
      <c r="AH578">
        <v>11</v>
      </c>
      <c r="AI578">
        <v>12</v>
      </c>
      <c r="AJ578">
        <v>0</v>
      </c>
      <c r="AK578">
        <v>2</v>
      </c>
      <c r="AL578" t="s">
        <v>88</v>
      </c>
      <c r="AM578" t="s">
        <v>5051</v>
      </c>
      <c r="AN578" t="s">
        <v>5052</v>
      </c>
      <c r="AO578" t="s">
        <v>9512</v>
      </c>
      <c r="AP578" t="s">
        <v>74</v>
      </c>
      <c r="AQ578" t="s">
        <v>74</v>
      </c>
      <c r="AR578" t="s">
        <v>9514</v>
      </c>
      <c r="AS578" t="s">
        <v>9515</v>
      </c>
      <c r="AT578" t="s">
        <v>9266</v>
      </c>
      <c r="AU578">
        <v>2007</v>
      </c>
      <c r="AV578">
        <v>17</v>
      </c>
      <c r="AW578" t="s">
        <v>74</v>
      </c>
      <c r="AX578" t="s">
        <v>74</v>
      </c>
      <c r="AY578">
        <v>1</v>
      </c>
      <c r="AZ578" t="s">
        <v>74</v>
      </c>
      <c r="BA578" t="s">
        <v>74</v>
      </c>
      <c r="BB578" t="s">
        <v>9685</v>
      </c>
      <c r="BC578" t="s">
        <v>9686</v>
      </c>
      <c r="BD578" t="s">
        <v>74</v>
      </c>
      <c r="BE578" t="s">
        <v>9687</v>
      </c>
      <c r="BF578" t="str">
        <f>HYPERLINK("http://dx.doi.org/10.1002/aqc.924","http://dx.doi.org/10.1002/aqc.924")</f>
        <v>http://dx.doi.org/10.1002/aqc.924</v>
      </c>
      <c r="BG578" t="s">
        <v>74</v>
      </c>
      <c r="BH578" t="s">
        <v>74</v>
      </c>
      <c r="BI578">
        <v>20</v>
      </c>
      <c r="BJ578" t="s">
        <v>9519</v>
      </c>
      <c r="BK578" t="s">
        <v>1616</v>
      </c>
      <c r="BL578" t="s">
        <v>9520</v>
      </c>
      <c r="BM578" t="s">
        <v>9521</v>
      </c>
      <c r="BN578" t="s">
        <v>74</v>
      </c>
      <c r="BO578" t="s">
        <v>74</v>
      </c>
      <c r="BP578" t="s">
        <v>74</v>
      </c>
      <c r="BQ578" t="s">
        <v>74</v>
      </c>
      <c r="BR578" t="s">
        <v>100</v>
      </c>
      <c r="BS578" t="s">
        <v>9688</v>
      </c>
      <c r="BT578" t="str">
        <f>HYPERLINK("https%3A%2F%2Fwww.webofscience.com%2Fwos%2Fwoscc%2Ffull-record%2FWOS:000253679300010","View Full Record in Web of Science")</f>
        <v>View Full Record in Web of Science</v>
      </c>
    </row>
    <row r="579" spans="1:72" x14ac:dyDescent="0.15">
      <c r="A579" t="s">
        <v>72</v>
      </c>
      <c r="B579" t="s">
        <v>9689</v>
      </c>
      <c r="C579" t="s">
        <v>74</v>
      </c>
      <c r="D579" t="s">
        <v>74</v>
      </c>
      <c r="E579" t="s">
        <v>74</v>
      </c>
      <c r="F579" t="s">
        <v>9690</v>
      </c>
      <c r="G579" t="s">
        <v>74</v>
      </c>
      <c r="H579" t="s">
        <v>74</v>
      </c>
      <c r="I579" t="s">
        <v>9691</v>
      </c>
      <c r="J579" t="s">
        <v>9692</v>
      </c>
      <c r="K579" t="s">
        <v>74</v>
      </c>
      <c r="L579" t="s">
        <v>74</v>
      </c>
      <c r="M579" t="s">
        <v>78</v>
      </c>
      <c r="N579" t="s">
        <v>79</v>
      </c>
      <c r="O579" t="s">
        <v>74</v>
      </c>
      <c r="P579" t="s">
        <v>74</v>
      </c>
      <c r="Q579" t="s">
        <v>74</v>
      </c>
      <c r="R579" t="s">
        <v>74</v>
      </c>
      <c r="S579" t="s">
        <v>74</v>
      </c>
      <c r="T579" t="s">
        <v>9693</v>
      </c>
      <c r="U579" t="s">
        <v>9694</v>
      </c>
      <c r="V579" t="s">
        <v>9695</v>
      </c>
      <c r="W579" t="s">
        <v>9696</v>
      </c>
      <c r="X579" t="s">
        <v>9697</v>
      </c>
      <c r="Y579" t="s">
        <v>9698</v>
      </c>
      <c r="Z579" t="s">
        <v>9699</v>
      </c>
      <c r="AA579" t="s">
        <v>74</v>
      </c>
      <c r="AB579" t="s">
        <v>9700</v>
      </c>
      <c r="AC579" t="s">
        <v>74</v>
      </c>
      <c r="AD579" t="s">
        <v>74</v>
      </c>
      <c r="AE579" t="s">
        <v>74</v>
      </c>
      <c r="AF579" t="s">
        <v>74</v>
      </c>
      <c r="AG579">
        <v>35</v>
      </c>
      <c r="AH579">
        <v>12</v>
      </c>
      <c r="AI579">
        <v>12</v>
      </c>
      <c r="AJ579">
        <v>0</v>
      </c>
      <c r="AK579">
        <v>0</v>
      </c>
      <c r="AL579" t="s">
        <v>9701</v>
      </c>
      <c r="AM579" t="s">
        <v>9702</v>
      </c>
      <c r="AN579" t="s">
        <v>9703</v>
      </c>
      <c r="AO579" t="s">
        <v>9704</v>
      </c>
      <c r="AP579" t="s">
        <v>9705</v>
      </c>
      <c r="AQ579" t="s">
        <v>74</v>
      </c>
      <c r="AR579" t="s">
        <v>9706</v>
      </c>
      <c r="AS579" t="s">
        <v>9707</v>
      </c>
      <c r="AT579" t="s">
        <v>9266</v>
      </c>
      <c r="AU579">
        <v>2007</v>
      </c>
      <c r="AV579">
        <v>475</v>
      </c>
      <c r="AW579">
        <v>3</v>
      </c>
      <c r="AX579" t="s">
        <v>74</v>
      </c>
      <c r="AY579" t="s">
        <v>74</v>
      </c>
      <c r="AZ579" t="s">
        <v>74</v>
      </c>
      <c r="BA579" t="s">
        <v>74</v>
      </c>
      <c r="BB579">
        <v>1185</v>
      </c>
      <c r="BC579">
        <v>1194</v>
      </c>
      <c r="BD579" t="s">
        <v>74</v>
      </c>
      <c r="BE579" t="s">
        <v>9708</v>
      </c>
      <c r="BF579" t="str">
        <f>HYPERLINK("http://dx.doi.org/10.1051/0004-6361:20077582","http://dx.doi.org/10.1051/0004-6361:20077582")</f>
        <v>http://dx.doi.org/10.1051/0004-6361:20077582</v>
      </c>
      <c r="BG579" t="s">
        <v>74</v>
      </c>
      <c r="BH579" t="s">
        <v>74</v>
      </c>
      <c r="BI579">
        <v>10</v>
      </c>
      <c r="BJ579" t="s">
        <v>351</v>
      </c>
      <c r="BK579" t="s">
        <v>97</v>
      </c>
      <c r="BL579" t="s">
        <v>351</v>
      </c>
      <c r="BM579" t="s">
        <v>9709</v>
      </c>
      <c r="BN579" t="s">
        <v>74</v>
      </c>
      <c r="BO579" t="s">
        <v>610</v>
      </c>
      <c r="BP579" t="s">
        <v>74</v>
      </c>
      <c r="BQ579" t="s">
        <v>74</v>
      </c>
      <c r="BR579" t="s">
        <v>100</v>
      </c>
      <c r="BS579" t="s">
        <v>9710</v>
      </c>
      <c r="BT579" t="str">
        <f>HYPERLINK("https%3A%2F%2Fwww.webofscience.com%2Fwos%2Fwoscc%2Ffull-record%2FWOS:000250945900040","View Full Record in Web of Science")</f>
        <v>View Full Record in Web of Science</v>
      </c>
    </row>
    <row r="580" spans="1:72" x14ac:dyDescent="0.15">
      <c r="A580" t="s">
        <v>72</v>
      </c>
      <c r="B580" t="s">
        <v>9711</v>
      </c>
      <c r="C580" t="s">
        <v>74</v>
      </c>
      <c r="D580" t="s">
        <v>74</v>
      </c>
      <c r="E580" t="s">
        <v>74</v>
      </c>
      <c r="F580" t="s">
        <v>9712</v>
      </c>
      <c r="G580" t="s">
        <v>74</v>
      </c>
      <c r="H580" t="s">
        <v>74</v>
      </c>
      <c r="I580" t="s">
        <v>9713</v>
      </c>
      <c r="J580" t="s">
        <v>9714</v>
      </c>
      <c r="K580" t="s">
        <v>74</v>
      </c>
      <c r="L580" t="s">
        <v>74</v>
      </c>
      <c r="M580" t="s">
        <v>78</v>
      </c>
      <c r="N580" t="s">
        <v>79</v>
      </c>
      <c r="O580" t="s">
        <v>74</v>
      </c>
      <c r="P580" t="s">
        <v>74</v>
      </c>
      <c r="Q580" t="s">
        <v>74</v>
      </c>
      <c r="R580" t="s">
        <v>74</v>
      </c>
      <c r="S580" t="s">
        <v>74</v>
      </c>
      <c r="T580" t="s">
        <v>9715</v>
      </c>
      <c r="U580" t="s">
        <v>9716</v>
      </c>
      <c r="V580" t="s">
        <v>9717</v>
      </c>
      <c r="W580" t="s">
        <v>4458</v>
      </c>
      <c r="X580" t="s">
        <v>440</v>
      </c>
      <c r="Y580" t="s">
        <v>6535</v>
      </c>
      <c r="Z580" t="s">
        <v>6536</v>
      </c>
      <c r="AA580" t="s">
        <v>6537</v>
      </c>
      <c r="AB580" t="s">
        <v>6538</v>
      </c>
      <c r="AC580" t="s">
        <v>9718</v>
      </c>
      <c r="AD580" t="s">
        <v>242</v>
      </c>
      <c r="AE580" t="s">
        <v>74</v>
      </c>
      <c r="AF580" t="s">
        <v>74</v>
      </c>
      <c r="AG580">
        <v>52</v>
      </c>
      <c r="AH580">
        <v>27</v>
      </c>
      <c r="AI580">
        <v>29</v>
      </c>
      <c r="AJ580">
        <v>0</v>
      </c>
      <c r="AK580">
        <v>25</v>
      </c>
      <c r="AL580" t="s">
        <v>1219</v>
      </c>
      <c r="AM580" t="s">
        <v>89</v>
      </c>
      <c r="AN580" t="s">
        <v>90</v>
      </c>
      <c r="AO580" t="s">
        <v>9719</v>
      </c>
      <c r="AP580" t="s">
        <v>9720</v>
      </c>
      <c r="AQ580" t="s">
        <v>74</v>
      </c>
      <c r="AR580" t="s">
        <v>9721</v>
      </c>
      <c r="AS580" t="s">
        <v>9722</v>
      </c>
      <c r="AT580" t="s">
        <v>9266</v>
      </c>
      <c r="AU580">
        <v>2007</v>
      </c>
      <c r="AV580">
        <v>32</v>
      </c>
      <c r="AW580">
        <v>8</v>
      </c>
      <c r="AX580" t="s">
        <v>74</v>
      </c>
      <c r="AY580" t="s">
        <v>74</v>
      </c>
      <c r="AZ580" t="s">
        <v>74</v>
      </c>
      <c r="BA580" t="s">
        <v>74</v>
      </c>
      <c r="BB580">
        <v>878</v>
      </c>
      <c r="BC580">
        <v>888</v>
      </c>
      <c r="BD580" t="s">
        <v>74</v>
      </c>
      <c r="BE580" t="s">
        <v>9723</v>
      </c>
      <c r="BF580" t="str">
        <f>HYPERLINK("http://dx.doi.org/10.1111/j.1442-9993.2007.01776.x","http://dx.doi.org/10.1111/j.1442-9993.2007.01776.x")</f>
        <v>http://dx.doi.org/10.1111/j.1442-9993.2007.01776.x</v>
      </c>
      <c r="BG580" t="s">
        <v>74</v>
      </c>
      <c r="BH580" t="s">
        <v>74</v>
      </c>
      <c r="BI580">
        <v>11</v>
      </c>
      <c r="BJ580" t="s">
        <v>297</v>
      </c>
      <c r="BK580" t="s">
        <v>97</v>
      </c>
      <c r="BL580" t="s">
        <v>275</v>
      </c>
      <c r="BM580" t="s">
        <v>9724</v>
      </c>
      <c r="BN580" t="s">
        <v>74</v>
      </c>
      <c r="BO580" t="s">
        <v>74</v>
      </c>
      <c r="BP580" t="s">
        <v>74</v>
      </c>
      <c r="BQ580" t="s">
        <v>74</v>
      </c>
      <c r="BR580" t="s">
        <v>100</v>
      </c>
      <c r="BS580" t="s">
        <v>9725</v>
      </c>
      <c r="BT580" t="str">
        <f>HYPERLINK("https%3A%2F%2Fwww.webofscience.com%2Fwos%2Fwoscc%2Ffull-record%2FWOS:000250760700005","View Full Record in Web of Science")</f>
        <v>View Full Record in Web of Science</v>
      </c>
    </row>
    <row r="581" spans="1:72" x14ac:dyDescent="0.15">
      <c r="A581" t="s">
        <v>72</v>
      </c>
      <c r="B581" t="s">
        <v>9726</v>
      </c>
      <c r="C581" t="s">
        <v>74</v>
      </c>
      <c r="D581" t="s">
        <v>74</v>
      </c>
      <c r="E581" t="s">
        <v>74</v>
      </c>
      <c r="F581" t="s">
        <v>9727</v>
      </c>
      <c r="G581" t="s">
        <v>74</v>
      </c>
      <c r="H581" t="s">
        <v>74</v>
      </c>
      <c r="I581" t="s">
        <v>9728</v>
      </c>
      <c r="J581" t="s">
        <v>9714</v>
      </c>
      <c r="K581" t="s">
        <v>74</v>
      </c>
      <c r="L581" t="s">
        <v>74</v>
      </c>
      <c r="M581" t="s">
        <v>78</v>
      </c>
      <c r="N581" t="s">
        <v>79</v>
      </c>
      <c r="O581" t="s">
        <v>74</v>
      </c>
      <c r="P581" t="s">
        <v>74</v>
      </c>
      <c r="Q581" t="s">
        <v>74</v>
      </c>
      <c r="R581" t="s">
        <v>74</v>
      </c>
      <c r="S581" t="s">
        <v>74</v>
      </c>
      <c r="T581" t="s">
        <v>9729</v>
      </c>
      <c r="U581" t="s">
        <v>9730</v>
      </c>
      <c r="V581" t="s">
        <v>9731</v>
      </c>
      <c r="W581" t="s">
        <v>9732</v>
      </c>
      <c r="X581" t="s">
        <v>9733</v>
      </c>
      <c r="Y581" t="s">
        <v>9734</v>
      </c>
      <c r="Z581" t="s">
        <v>9735</v>
      </c>
      <c r="AA581" t="s">
        <v>9736</v>
      </c>
      <c r="AB581" t="s">
        <v>9737</v>
      </c>
      <c r="AC581" t="s">
        <v>74</v>
      </c>
      <c r="AD581" t="s">
        <v>74</v>
      </c>
      <c r="AE581" t="s">
        <v>74</v>
      </c>
      <c r="AF581" t="s">
        <v>74</v>
      </c>
      <c r="AG581">
        <v>47</v>
      </c>
      <c r="AH581">
        <v>20</v>
      </c>
      <c r="AI581">
        <v>21</v>
      </c>
      <c r="AJ581">
        <v>0</v>
      </c>
      <c r="AK581">
        <v>10</v>
      </c>
      <c r="AL581" t="s">
        <v>1219</v>
      </c>
      <c r="AM581" t="s">
        <v>89</v>
      </c>
      <c r="AN581" t="s">
        <v>90</v>
      </c>
      <c r="AO581" t="s">
        <v>9719</v>
      </c>
      <c r="AP581" t="s">
        <v>9720</v>
      </c>
      <c r="AQ581" t="s">
        <v>74</v>
      </c>
      <c r="AR581" t="s">
        <v>9721</v>
      </c>
      <c r="AS581" t="s">
        <v>9722</v>
      </c>
      <c r="AT581" t="s">
        <v>9266</v>
      </c>
      <c r="AU581">
        <v>2007</v>
      </c>
      <c r="AV581">
        <v>32</v>
      </c>
      <c r="AW581">
        <v>8</v>
      </c>
      <c r="AX581" t="s">
        <v>74</v>
      </c>
      <c r="AY581" t="s">
        <v>74</v>
      </c>
      <c r="AZ581" t="s">
        <v>74</v>
      </c>
      <c r="BA581" t="s">
        <v>74</v>
      </c>
      <c r="BB581">
        <v>917</v>
      </c>
      <c r="BC581">
        <v>926</v>
      </c>
      <c r="BD581" t="s">
        <v>74</v>
      </c>
      <c r="BE581" t="s">
        <v>9738</v>
      </c>
      <c r="BF581" t="str">
        <f>HYPERLINK("http://dx.doi.org/10.1111/j.1442-9993.2007.01796.x","http://dx.doi.org/10.1111/j.1442-9993.2007.01796.x")</f>
        <v>http://dx.doi.org/10.1111/j.1442-9993.2007.01796.x</v>
      </c>
      <c r="BG581" t="s">
        <v>74</v>
      </c>
      <c r="BH581" t="s">
        <v>74</v>
      </c>
      <c r="BI581">
        <v>10</v>
      </c>
      <c r="BJ581" t="s">
        <v>297</v>
      </c>
      <c r="BK581" t="s">
        <v>97</v>
      </c>
      <c r="BL581" t="s">
        <v>275</v>
      </c>
      <c r="BM581" t="s">
        <v>9724</v>
      </c>
      <c r="BN581" t="s">
        <v>74</v>
      </c>
      <c r="BO581" t="s">
        <v>3777</v>
      </c>
      <c r="BP581" t="s">
        <v>74</v>
      </c>
      <c r="BQ581" t="s">
        <v>74</v>
      </c>
      <c r="BR581" t="s">
        <v>100</v>
      </c>
      <c r="BS581" t="s">
        <v>9739</v>
      </c>
      <c r="BT581" t="str">
        <f>HYPERLINK("https%3A%2F%2Fwww.webofscience.com%2Fwos%2Fwoscc%2Ffull-record%2FWOS:000250760700009","View Full Record in Web of Science")</f>
        <v>View Full Record in Web of Science</v>
      </c>
    </row>
    <row r="582" spans="1:72" x14ac:dyDescent="0.15">
      <c r="A582" t="s">
        <v>72</v>
      </c>
      <c r="B582" t="s">
        <v>9740</v>
      </c>
      <c r="C582" t="s">
        <v>74</v>
      </c>
      <c r="D582" t="s">
        <v>74</v>
      </c>
      <c r="E582" t="s">
        <v>74</v>
      </c>
      <c r="F582" t="s">
        <v>9741</v>
      </c>
      <c r="G582" t="s">
        <v>74</v>
      </c>
      <c r="H582" t="s">
        <v>74</v>
      </c>
      <c r="I582" t="s">
        <v>9742</v>
      </c>
      <c r="J582" t="s">
        <v>2533</v>
      </c>
      <c r="K582" t="s">
        <v>74</v>
      </c>
      <c r="L582" t="s">
        <v>74</v>
      </c>
      <c r="M582" t="s">
        <v>78</v>
      </c>
      <c r="N582" t="s">
        <v>79</v>
      </c>
      <c r="O582" t="s">
        <v>74</v>
      </c>
      <c r="P582" t="s">
        <v>74</v>
      </c>
      <c r="Q582" t="s">
        <v>74</v>
      </c>
      <c r="R582" t="s">
        <v>74</v>
      </c>
      <c r="S582" t="s">
        <v>74</v>
      </c>
      <c r="T582" t="s">
        <v>9743</v>
      </c>
      <c r="U582" t="s">
        <v>9744</v>
      </c>
      <c r="V582" t="s">
        <v>9745</v>
      </c>
      <c r="W582" t="s">
        <v>9746</v>
      </c>
      <c r="X582" t="s">
        <v>9747</v>
      </c>
      <c r="Y582" t="s">
        <v>9748</v>
      </c>
      <c r="Z582" t="s">
        <v>9749</v>
      </c>
      <c r="AA582" t="s">
        <v>9750</v>
      </c>
      <c r="AB582" t="s">
        <v>9751</v>
      </c>
      <c r="AC582" t="s">
        <v>74</v>
      </c>
      <c r="AD582" t="s">
        <v>74</v>
      </c>
      <c r="AE582" t="s">
        <v>74</v>
      </c>
      <c r="AF582" t="s">
        <v>74</v>
      </c>
      <c r="AG582">
        <v>51</v>
      </c>
      <c r="AH582">
        <v>41</v>
      </c>
      <c r="AI582">
        <v>49</v>
      </c>
      <c r="AJ582">
        <v>0</v>
      </c>
      <c r="AK582">
        <v>10</v>
      </c>
      <c r="AL582" t="s">
        <v>1331</v>
      </c>
      <c r="AM582" t="s">
        <v>1421</v>
      </c>
      <c r="AN582" t="s">
        <v>2160</v>
      </c>
      <c r="AO582" t="s">
        <v>2541</v>
      </c>
      <c r="AP582" t="s">
        <v>2542</v>
      </c>
      <c r="AQ582" t="s">
        <v>74</v>
      </c>
      <c r="AR582" t="s">
        <v>2543</v>
      </c>
      <c r="AS582" t="s">
        <v>2544</v>
      </c>
      <c r="AT582" t="s">
        <v>9266</v>
      </c>
      <c r="AU582">
        <v>2007</v>
      </c>
      <c r="AV582">
        <v>54</v>
      </c>
      <c r="AW582">
        <v>8</v>
      </c>
      <c r="AX582" t="s">
        <v>74</v>
      </c>
      <c r="AY582" t="s">
        <v>74</v>
      </c>
      <c r="AZ582" t="s">
        <v>74</v>
      </c>
      <c r="BA582" t="s">
        <v>74</v>
      </c>
      <c r="BB582">
        <v>1033</v>
      </c>
      <c r="BC582">
        <v>1045</v>
      </c>
      <c r="BD582" t="s">
        <v>74</v>
      </c>
      <c r="BE582" t="s">
        <v>9752</v>
      </c>
      <c r="BF582" t="str">
        <f>HYPERLINK("http://dx.doi.org/10.1080/08120090701615691","http://dx.doi.org/10.1080/08120090701615691")</f>
        <v>http://dx.doi.org/10.1080/08120090701615691</v>
      </c>
      <c r="BG582" t="s">
        <v>74</v>
      </c>
      <c r="BH582" t="s">
        <v>74</v>
      </c>
      <c r="BI582">
        <v>13</v>
      </c>
      <c r="BJ582" t="s">
        <v>96</v>
      </c>
      <c r="BK582" t="s">
        <v>97</v>
      </c>
      <c r="BL582" t="s">
        <v>98</v>
      </c>
      <c r="BM582" t="s">
        <v>9753</v>
      </c>
      <c r="BN582" t="s">
        <v>74</v>
      </c>
      <c r="BO582" t="s">
        <v>1050</v>
      </c>
      <c r="BP582" t="s">
        <v>74</v>
      </c>
      <c r="BQ582" t="s">
        <v>74</v>
      </c>
      <c r="BR582" t="s">
        <v>100</v>
      </c>
      <c r="BS582" t="s">
        <v>9754</v>
      </c>
      <c r="BT582" t="str">
        <f>HYPERLINK("https%3A%2F%2Fwww.webofscience.com%2Fwos%2Fwoscc%2Ffull-record%2FWOS:000252594100002","View Full Record in Web of Science")</f>
        <v>View Full Record in Web of Science</v>
      </c>
    </row>
    <row r="583" spans="1:72" x14ac:dyDescent="0.15">
      <c r="A583" t="s">
        <v>72</v>
      </c>
      <c r="B583" t="s">
        <v>9755</v>
      </c>
      <c r="C583" t="s">
        <v>74</v>
      </c>
      <c r="D583" t="s">
        <v>74</v>
      </c>
      <c r="E583" t="s">
        <v>74</v>
      </c>
      <c r="F583" t="s">
        <v>9756</v>
      </c>
      <c r="G583" t="s">
        <v>74</v>
      </c>
      <c r="H583" t="s">
        <v>74</v>
      </c>
      <c r="I583" t="s">
        <v>9757</v>
      </c>
      <c r="J583" t="s">
        <v>9758</v>
      </c>
      <c r="K583" t="s">
        <v>74</v>
      </c>
      <c r="L583" t="s">
        <v>74</v>
      </c>
      <c r="M583" t="s">
        <v>78</v>
      </c>
      <c r="N583" t="s">
        <v>79</v>
      </c>
      <c r="O583" t="s">
        <v>74</v>
      </c>
      <c r="P583" t="s">
        <v>74</v>
      </c>
      <c r="Q583" t="s">
        <v>74</v>
      </c>
      <c r="R583" t="s">
        <v>74</v>
      </c>
      <c r="S583" t="s">
        <v>74</v>
      </c>
      <c r="T583" t="s">
        <v>9759</v>
      </c>
      <c r="U583" t="s">
        <v>9760</v>
      </c>
      <c r="V583" t="s">
        <v>9761</v>
      </c>
      <c r="W583" t="s">
        <v>9762</v>
      </c>
      <c r="X583" t="s">
        <v>9763</v>
      </c>
      <c r="Y583" t="s">
        <v>9764</v>
      </c>
      <c r="Z583" t="s">
        <v>9765</v>
      </c>
      <c r="AA583" t="s">
        <v>74</v>
      </c>
      <c r="AB583" t="s">
        <v>9766</v>
      </c>
      <c r="AC583" t="s">
        <v>74</v>
      </c>
      <c r="AD583" t="s">
        <v>74</v>
      </c>
      <c r="AE583" t="s">
        <v>74</v>
      </c>
      <c r="AF583" t="s">
        <v>74</v>
      </c>
      <c r="AG583">
        <v>47</v>
      </c>
      <c r="AH583">
        <v>7</v>
      </c>
      <c r="AI583">
        <v>11</v>
      </c>
      <c r="AJ583">
        <v>0</v>
      </c>
      <c r="AK583">
        <v>10</v>
      </c>
      <c r="AL583" t="s">
        <v>1265</v>
      </c>
      <c r="AM583" t="s">
        <v>1317</v>
      </c>
      <c r="AN583" t="s">
        <v>2701</v>
      </c>
      <c r="AO583" t="s">
        <v>9767</v>
      </c>
      <c r="AP583" t="s">
        <v>9768</v>
      </c>
      <c r="AQ583" t="s">
        <v>74</v>
      </c>
      <c r="AR583" t="s">
        <v>9758</v>
      </c>
      <c r="AS583" t="s">
        <v>9769</v>
      </c>
      <c r="AT583" t="s">
        <v>9266</v>
      </c>
      <c r="AU583">
        <v>2007</v>
      </c>
      <c r="AV583">
        <v>20</v>
      </c>
      <c r="AW583">
        <v>6</v>
      </c>
      <c r="AX583" t="s">
        <v>74</v>
      </c>
      <c r="AY583" t="s">
        <v>74</v>
      </c>
      <c r="AZ583" t="s">
        <v>74</v>
      </c>
      <c r="BA583" t="s">
        <v>74</v>
      </c>
      <c r="BB583">
        <v>821</v>
      </c>
      <c r="BC583">
        <v>828</v>
      </c>
      <c r="BD583" t="s">
        <v>74</v>
      </c>
      <c r="BE583" t="s">
        <v>9770</v>
      </c>
      <c r="BF583" t="str">
        <f>HYPERLINK("http://dx.doi.org/10.1007/s10534-006-9045-8","http://dx.doi.org/10.1007/s10534-006-9045-8")</f>
        <v>http://dx.doi.org/10.1007/s10534-006-9045-8</v>
      </c>
      <c r="BG583" t="s">
        <v>74</v>
      </c>
      <c r="BH583" t="s">
        <v>74</v>
      </c>
      <c r="BI583">
        <v>8</v>
      </c>
      <c r="BJ583" t="s">
        <v>7853</v>
      </c>
      <c r="BK583" t="s">
        <v>97</v>
      </c>
      <c r="BL583" t="s">
        <v>7853</v>
      </c>
      <c r="BM583" t="s">
        <v>9771</v>
      </c>
      <c r="BN583">
        <v>17205210</v>
      </c>
      <c r="BO583" t="s">
        <v>74</v>
      </c>
      <c r="BP583" t="s">
        <v>74</v>
      </c>
      <c r="BQ583" t="s">
        <v>74</v>
      </c>
      <c r="BR583" t="s">
        <v>100</v>
      </c>
      <c r="BS583" t="s">
        <v>9772</v>
      </c>
      <c r="BT583" t="str">
        <f>HYPERLINK("https%3A%2F%2Fwww.webofscience.com%2Fwos%2Fwoscc%2Ffull-record%2FWOS:000250462500001","View Full Record in Web of Science")</f>
        <v>View Full Record in Web of Science</v>
      </c>
    </row>
    <row r="584" spans="1:72" x14ac:dyDescent="0.15">
      <c r="A584" t="s">
        <v>72</v>
      </c>
      <c r="B584" t="s">
        <v>9773</v>
      </c>
      <c r="C584" t="s">
        <v>74</v>
      </c>
      <c r="D584" t="s">
        <v>74</v>
      </c>
      <c r="E584" t="s">
        <v>74</v>
      </c>
      <c r="F584" t="s">
        <v>9774</v>
      </c>
      <c r="G584" t="s">
        <v>74</v>
      </c>
      <c r="H584" t="s">
        <v>74</v>
      </c>
      <c r="I584" t="s">
        <v>9775</v>
      </c>
      <c r="J584" t="s">
        <v>9776</v>
      </c>
      <c r="K584" t="s">
        <v>74</v>
      </c>
      <c r="L584" t="s">
        <v>74</v>
      </c>
      <c r="M584" t="s">
        <v>78</v>
      </c>
      <c r="N584" t="s">
        <v>79</v>
      </c>
      <c r="O584" t="s">
        <v>74</v>
      </c>
      <c r="P584" t="s">
        <v>74</v>
      </c>
      <c r="Q584" t="s">
        <v>74</v>
      </c>
      <c r="R584" t="s">
        <v>74</v>
      </c>
      <c r="S584" t="s">
        <v>74</v>
      </c>
      <c r="T584" t="s">
        <v>74</v>
      </c>
      <c r="U584" t="s">
        <v>9777</v>
      </c>
      <c r="V584" t="s">
        <v>9778</v>
      </c>
      <c r="W584" t="s">
        <v>9779</v>
      </c>
      <c r="X584" t="s">
        <v>9780</v>
      </c>
      <c r="Y584" t="s">
        <v>9781</v>
      </c>
      <c r="Z584" t="s">
        <v>9782</v>
      </c>
      <c r="AA584" t="s">
        <v>9783</v>
      </c>
      <c r="AB584" t="s">
        <v>9784</v>
      </c>
      <c r="AC584" t="s">
        <v>74</v>
      </c>
      <c r="AD584" t="s">
        <v>74</v>
      </c>
      <c r="AE584" t="s">
        <v>74</v>
      </c>
      <c r="AF584" t="s">
        <v>74</v>
      </c>
      <c r="AG584">
        <v>58</v>
      </c>
      <c r="AH584">
        <v>111</v>
      </c>
      <c r="AI584">
        <v>121</v>
      </c>
      <c r="AJ584">
        <v>0</v>
      </c>
      <c r="AK584">
        <v>19</v>
      </c>
      <c r="AL584" t="s">
        <v>583</v>
      </c>
      <c r="AM584" t="s">
        <v>584</v>
      </c>
      <c r="AN584" t="s">
        <v>585</v>
      </c>
      <c r="AO584" t="s">
        <v>9785</v>
      </c>
      <c r="AP584" t="s">
        <v>9786</v>
      </c>
      <c r="AQ584" t="s">
        <v>74</v>
      </c>
      <c r="AR584" t="s">
        <v>9787</v>
      </c>
      <c r="AS584" t="s">
        <v>9788</v>
      </c>
      <c r="AT584" t="s">
        <v>9266</v>
      </c>
      <c r="AU584">
        <v>2007</v>
      </c>
      <c r="AV584">
        <v>88</v>
      </c>
      <c r="AW584">
        <v>12</v>
      </c>
      <c r="AX584" t="s">
        <v>74</v>
      </c>
      <c r="AY584" t="s">
        <v>74</v>
      </c>
      <c r="AZ584" t="s">
        <v>74</v>
      </c>
      <c r="BA584" t="s">
        <v>74</v>
      </c>
      <c r="BB584">
        <v>1965</v>
      </c>
      <c r="BC584" t="s">
        <v>865</v>
      </c>
      <c r="BD584" t="s">
        <v>74</v>
      </c>
      <c r="BE584" t="s">
        <v>9789</v>
      </c>
      <c r="BF584" t="str">
        <f>HYPERLINK("http://dx.doi.org/10.1175/BAMS-88-12-1965","http://dx.doi.org/10.1175/BAMS-88-12-1965")</f>
        <v>http://dx.doi.org/10.1175/BAMS-88-12-1965</v>
      </c>
      <c r="BG584" t="s">
        <v>74</v>
      </c>
      <c r="BH584" t="s">
        <v>74</v>
      </c>
      <c r="BI584">
        <v>15</v>
      </c>
      <c r="BJ584" t="s">
        <v>204</v>
      </c>
      <c r="BK584" t="s">
        <v>97</v>
      </c>
      <c r="BL584" t="s">
        <v>204</v>
      </c>
      <c r="BM584" t="s">
        <v>9790</v>
      </c>
      <c r="BN584" t="s">
        <v>74</v>
      </c>
      <c r="BO584" t="s">
        <v>649</v>
      </c>
      <c r="BP584" t="s">
        <v>74</v>
      </c>
      <c r="BQ584" t="s">
        <v>74</v>
      </c>
      <c r="BR584" t="s">
        <v>100</v>
      </c>
      <c r="BS584" t="s">
        <v>9791</v>
      </c>
      <c r="BT584" t="str">
        <f>HYPERLINK("https%3A%2F%2Fwww.webofscience.com%2Fwos%2Fwoscc%2Ffull-record%2FWOS:000252334100018","View Full Record in Web of Science")</f>
        <v>View Full Record in Web of Science</v>
      </c>
    </row>
    <row r="585" spans="1:72" x14ac:dyDescent="0.15">
      <c r="A585" t="s">
        <v>72</v>
      </c>
      <c r="B585" t="s">
        <v>9792</v>
      </c>
      <c r="C585" t="s">
        <v>74</v>
      </c>
      <c r="D585" t="s">
        <v>74</v>
      </c>
      <c r="E585" t="s">
        <v>74</v>
      </c>
      <c r="F585" t="s">
        <v>9793</v>
      </c>
      <c r="G585" t="s">
        <v>74</v>
      </c>
      <c r="H585" t="s">
        <v>74</v>
      </c>
      <c r="I585" t="s">
        <v>9794</v>
      </c>
      <c r="J585" t="s">
        <v>9795</v>
      </c>
      <c r="K585" t="s">
        <v>74</v>
      </c>
      <c r="L585" t="s">
        <v>74</v>
      </c>
      <c r="M585" t="s">
        <v>78</v>
      </c>
      <c r="N585" t="s">
        <v>79</v>
      </c>
      <c r="O585" t="s">
        <v>74</v>
      </c>
      <c r="P585" t="s">
        <v>74</v>
      </c>
      <c r="Q585" t="s">
        <v>74</v>
      </c>
      <c r="R585" t="s">
        <v>74</v>
      </c>
      <c r="S585" t="s">
        <v>74</v>
      </c>
      <c r="T585" t="s">
        <v>74</v>
      </c>
      <c r="U585" t="s">
        <v>9796</v>
      </c>
      <c r="V585" t="s">
        <v>9797</v>
      </c>
      <c r="W585" t="s">
        <v>9798</v>
      </c>
      <c r="X585" t="s">
        <v>9799</v>
      </c>
      <c r="Y585" t="s">
        <v>6066</v>
      </c>
      <c r="Z585" t="s">
        <v>9800</v>
      </c>
      <c r="AA585" t="s">
        <v>6068</v>
      </c>
      <c r="AB585" t="s">
        <v>74</v>
      </c>
      <c r="AC585" t="s">
        <v>74</v>
      </c>
      <c r="AD585" t="s">
        <v>74</v>
      </c>
      <c r="AE585" t="s">
        <v>74</v>
      </c>
      <c r="AF585" t="s">
        <v>74</v>
      </c>
      <c r="AG585">
        <v>79</v>
      </c>
      <c r="AH585">
        <v>7</v>
      </c>
      <c r="AI585">
        <v>8</v>
      </c>
      <c r="AJ585">
        <v>0</v>
      </c>
      <c r="AK585">
        <v>10</v>
      </c>
      <c r="AL585" t="s">
        <v>9801</v>
      </c>
      <c r="AM585" t="s">
        <v>9802</v>
      </c>
      <c r="AN585" t="s">
        <v>9803</v>
      </c>
      <c r="AO585" t="s">
        <v>9804</v>
      </c>
      <c r="AP585" t="s">
        <v>9805</v>
      </c>
      <c r="AQ585" t="s">
        <v>74</v>
      </c>
      <c r="AR585" t="s">
        <v>9806</v>
      </c>
      <c r="AS585" t="s">
        <v>9807</v>
      </c>
      <c r="AT585" t="s">
        <v>9266</v>
      </c>
      <c r="AU585">
        <v>2007</v>
      </c>
      <c r="AV585">
        <v>85</v>
      </c>
      <c r="AW585">
        <v>12</v>
      </c>
      <c r="AX585" t="s">
        <v>74</v>
      </c>
      <c r="AY585" t="s">
        <v>74</v>
      </c>
      <c r="AZ585" t="s">
        <v>74</v>
      </c>
      <c r="BA585" t="s">
        <v>74</v>
      </c>
      <c r="BB585">
        <v>1275</v>
      </c>
      <c r="BC585">
        <v>1285</v>
      </c>
      <c r="BD585" t="s">
        <v>74</v>
      </c>
      <c r="BE585" t="s">
        <v>9808</v>
      </c>
      <c r="BF585" t="str">
        <f>HYPERLINK("http://dx.doi.org/10.1139/Z07-092","http://dx.doi.org/10.1139/Z07-092")</f>
        <v>http://dx.doi.org/10.1139/Z07-092</v>
      </c>
      <c r="BG585" t="s">
        <v>74</v>
      </c>
      <c r="BH585" t="s">
        <v>74</v>
      </c>
      <c r="BI585">
        <v>11</v>
      </c>
      <c r="BJ585" t="s">
        <v>4825</v>
      </c>
      <c r="BK585" t="s">
        <v>97</v>
      </c>
      <c r="BL585" t="s">
        <v>4825</v>
      </c>
      <c r="BM585" t="s">
        <v>9809</v>
      </c>
      <c r="BN585" t="s">
        <v>74</v>
      </c>
      <c r="BO585" t="s">
        <v>3777</v>
      </c>
      <c r="BP585" t="s">
        <v>74</v>
      </c>
      <c r="BQ585" t="s">
        <v>74</v>
      </c>
      <c r="BR585" t="s">
        <v>100</v>
      </c>
      <c r="BS585" t="s">
        <v>9810</v>
      </c>
      <c r="BT585" t="str">
        <f>HYPERLINK("https%3A%2F%2Fwww.webofscience.com%2Fwos%2Fwoscc%2Ffull-record%2FWOS:000253179100008","View Full Record in Web of Science")</f>
        <v>View Full Record in Web of Science</v>
      </c>
    </row>
    <row r="586" spans="1:72" x14ac:dyDescent="0.15">
      <c r="A586" t="s">
        <v>72</v>
      </c>
      <c r="B586" t="s">
        <v>9811</v>
      </c>
      <c r="C586" t="s">
        <v>74</v>
      </c>
      <c r="D586" t="s">
        <v>74</v>
      </c>
      <c r="E586" t="s">
        <v>74</v>
      </c>
      <c r="F586" t="s">
        <v>9812</v>
      </c>
      <c r="G586" t="s">
        <v>74</v>
      </c>
      <c r="H586" t="s">
        <v>74</v>
      </c>
      <c r="I586" t="s">
        <v>9813</v>
      </c>
      <c r="J586" t="s">
        <v>9814</v>
      </c>
      <c r="K586" t="s">
        <v>74</v>
      </c>
      <c r="L586" t="s">
        <v>74</v>
      </c>
      <c r="M586" t="s">
        <v>78</v>
      </c>
      <c r="N586" t="s">
        <v>79</v>
      </c>
      <c r="O586" t="s">
        <v>74</v>
      </c>
      <c r="P586" t="s">
        <v>74</v>
      </c>
      <c r="Q586" t="s">
        <v>74</v>
      </c>
      <c r="R586" t="s">
        <v>74</v>
      </c>
      <c r="S586" t="s">
        <v>74</v>
      </c>
      <c r="T586" t="s">
        <v>74</v>
      </c>
      <c r="U586" t="s">
        <v>9815</v>
      </c>
      <c r="V586" t="s">
        <v>9816</v>
      </c>
      <c r="W586" t="s">
        <v>74</v>
      </c>
      <c r="X586" t="s">
        <v>74</v>
      </c>
      <c r="Y586" t="s">
        <v>9817</v>
      </c>
      <c r="Z586" t="s">
        <v>74</v>
      </c>
      <c r="AA586" t="s">
        <v>74</v>
      </c>
      <c r="AB586" t="s">
        <v>74</v>
      </c>
      <c r="AC586" t="s">
        <v>74</v>
      </c>
      <c r="AD586" t="s">
        <v>74</v>
      </c>
      <c r="AE586" t="s">
        <v>74</v>
      </c>
      <c r="AF586" t="s">
        <v>74</v>
      </c>
      <c r="AG586">
        <v>66</v>
      </c>
      <c r="AH586">
        <v>0</v>
      </c>
      <c r="AI586">
        <v>0</v>
      </c>
      <c r="AJ586">
        <v>0</v>
      </c>
      <c r="AK586">
        <v>51</v>
      </c>
      <c r="AL586" t="s">
        <v>1265</v>
      </c>
      <c r="AM586" t="s">
        <v>662</v>
      </c>
      <c r="AN586" t="s">
        <v>1266</v>
      </c>
      <c r="AO586" t="s">
        <v>9818</v>
      </c>
      <c r="AP586" t="s">
        <v>9819</v>
      </c>
      <c r="AQ586" t="s">
        <v>74</v>
      </c>
      <c r="AR586" t="s">
        <v>9820</v>
      </c>
      <c r="AS586" t="s">
        <v>9821</v>
      </c>
      <c r="AT586" t="s">
        <v>9266</v>
      </c>
      <c r="AU586">
        <v>2007</v>
      </c>
      <c r="AV586">
        <v>22</v>
      </c>
      <c r="AW586">
        <v>2</v>
      </c>
      <c r="AX586" t="s">
        <v>74</v>
      </c>
      <c r="AY586" t="s">
        <v>74</v>
      </c>
      <c r="AZ586" t="s">
        <v>74</v>
      </c>
      <c r="BA586" t="s">
        <v>74</v>
      </c>
      <c r="BB586">
        <v>149</v>
      </c>
      <c r="BC586">
        <v>177</v>
      </c>
      <c r="BD586" t="s">
        <v>74</v>
      </c>
      <c r="BE586" t="s">
        <v>9822</v>
      </c>
      <c r="BF586" t="str">
        <f>HYPERLINK("http://dx.doi.org/10.1007/BF03176244","http://dx.doi.org/10.1007/BF03176244")</f>
        <v>http://dx.doi.org/10.1007/BF03176244</v>
      </c>
      <c r="BG586" t="s">
        <v>74</v>
      </c>
      <c r="BH586" t="s">
        <v>74</v>
      </c>
      <c r="BI586">
        <v>29</v>
      </c>
      <c r="BJ586" t="s">
        <v>98</v>
      </c>
      <c r="BK586" t="s">
        <v>97</v>
      </c>
      <c r="BL586" t="s">
        <v>98</v>
      </c>
      <c r="BM586" t="s">
        <v>9823</v>
      </c>
      <c r="BN586" t="s">
        <v>74</v>
      </c>
      <c r="BO586" t="s">
        <v>74</v>
      </c>
      <c r="BP586" t="s">
        <v>74</v>
      </c>
      <c r="BQ586" t="s">
        <v>74</v>
      </c>
      <c r="BR586" t="s">
        <v>100</v>
      </c>
      <c r="BS586" t="s">
        <v>9824</v>
      </c>
      <c r="BT586" t="str">
        <f>HYPERLINK("https%3A%2F%2Fwww.webofscience.com%2Fwos%2Fwoscc%2Ffull-record%2FWOS:000251725800006","View Full Record in Web of Science")</f>
        <v>View Full Record in Web of Science</v>
      </c>
    </row>
    <row r="587" spans="1:72" x14ac:dyDescent="0.15">
      <c r="A587" t="s">
        <v>72</v>
      </c>
      <c r="B587" t="s">
        <v>9825</v>
      </c>
      <c r="C587" t="s">
        <v>74</v>
      </c>
      <c r="D587" t="s">
        <v>74</v>
      </c>
      <c r="E587" t="s">
        <v>74</v>
      </c>
      <c r="F587" t="s">
        <v>9826</v>
      </c>
      <c r="G587" t="s">
        <v>74</v>
      </c>
      <c r="H587" t="s">
        <v>74</v>
      </c>
      <c r="I587" t="s">
        <v>9827</v>
      </c>
      <c r="J587" t="s">
        <v>9828</v>
      </c>
      <c r="K587" t="s">
        <v>74</v>
      </c>
      <c r="L587" t="s">
        <v>74</v>
      </c>
      <c r="M587" t="s">
        <v>78</v>
      </c>
      <c r="N587" t="s">
        <v>692</v>
      </c>
      <c r="O587" t="s">
        <v>74</v>
      </c>
      <c r="P587" t="s">
        <v>74</v>
      </c>
      <c r="Q587" t="s">
        <v>74</v>
      </c>
      <c r="R587" t="s">
        <v>74</v>
      </c>
      <c r="S587" t="s">
        <v>74</v>
      </c>
      <c r="T587" t="s">
        <v>74</v>
      </c>
      <c r="U587" t="s">
        <v>74</v>
      </c>
      <c r="V587" t="s">
        <v>74</v>
      </c>
      <c r="W587" t="s">
        <v>74</v>
      </c>
      <c r="X587" t="s">
        <v>74</v>
      </c>
      <c r="Y587" t="s">
        <v>74</v>
      </c>
      <c r="Z587" t="s">
        <v>74</v>
      </c>
      <c r="AA587" t="s">
        <v>74</v>
      </c>
      <c r="AB587" t="s">
        <v>74</v>
      </c>
      <c r="AC587" t="s">
        <v>74</v>
      </c>
      <c r="AD587" t="s">
        <v>74</v>
      </c>
      <c r="AE587" t="s">
        <v>74</v>
      </c>
      <c r="AF587" t="s">
        <v>74</v>
      </c>
      <c r="AG587">
        <v>0</v>
      </c>
      <c r="AH587">
        <v>0</v>
      </c>
      <c r="AI587">
        <v>0</v>
      </c>
      <c r="AJ587">
        <v>0</v>
      </c>
      <c r="AK587">
        <v>1</v>
      </c>
      <c r="AL587" t="s">
        <v>9829</v>
      </c>
      <c r="AM587" t="s">
        <v>9830</v>
      </c>
      <c r="AN587" t="s">
        <v>9831</v>
      </c>
      <c r="AO587" t="s">
        <v>9832</v>
      </c>
      <c r="AP587" t="s">
        <v>74</v>
      </c>
      <c r="AQ587" t="s">
        <v>74</v>
      </c>
      <c r="AR587" t="s">
        <v>9833</v>
      </c>
      <c r="AS587" t="s">
        <v>9834</v>
      </c>
      <c r="AT587" t="s">
        <v>9266</v>
      </c>
      <c r="AU587">
        <v>2007</v>
      </c>
      <c r="AV587">
        <v>77</v>
      </c>
      <c r="AW587">
        <v>12</v>
      </c>
      <c r="AX587" t="s">
        <v>74</v>
      </c>
      <c r="AY587" t="s">
        <v>74</v>
      </c>
      <c r="AZ587" t="s">
        <v>74</v>
      </c>
      <c r="BA587" t="s">
        <v>74</v>
      </c>
      <c r="BB587">
        <v>20</v>
      </c>
      <c r="BC587" t="s">
        <v>865</v>
      </c>
      <c r="BD587" t="s">
        <v>74</v>
      </c>
      <c r="BE587" t="s">
        <v>74</v>
      </c>
      <c r="BF587" t="s">
        <v>74</v>
      </c>
      <c r="BG587" t="s">
        <v>74</v>
      </c>
      <c r="BH587" t="s">
        <v>74</v>
      </c>
      <c r="BI587">
        <v>2</v>
      </c>
      <c r="BJ587" t="s">
        <v>9835</v>
      </c>
      <c r="BK587" t="s">
        <v>97</v>
      </c>
      <c r="BL587" t="s">
        <v>890</v>
      </c>
      <c r="BM587" t="s">
        <v>9836</v>
      </c>
      <c r="BN587" t="s">
        <v>74</v>
      </c>
      <c r="BO587" t="s">
        <v>74</v>
      </c>
      <c r="BP587" t="s">
        <v>74</v>
      </c>
      <c r="BQ587" t="s">
        <v>74</v>
      </c>
      <c r="BR587" t="s">
        <v>100</v>
      </c>
      <c r="BS587" t="s">
        <v>9837</v>
      </c>
      <c r="BT587" t="str">
        <f>HYPERLINK("https%3A%2F%2Fwww.webofscience.com%2Fwos%2Fwoscc%2Ffull-record%2FWOS:000251617300009","View Full Record in Web of Science")</f>
        <v>View Full Record in Web of Science</v>
      </c>
    </row>
    <row r="588" spans="1:72" x14ac:dyDescent="0.15">
      <c r="A588" t="s">
        <v>72</v>
      </c>
      <c r="B588" t="s">
        <v>9838</v>
      </c>
      <c r="C588" t="s">
        <v>74</v>
      </c>
      <c r="D588" t="s">
        <v>74</v>
      </c>
      <c r="E588" t="s">
        <v>74</v>
      </c>
      <c r="F588" t="s">
        <v>9839</v>
      </c>
      <c r="G588" t="s">
        <v>74</v>
      </c>
      <c r="H588" t="s">
        <v>74</v>
      </c>
      <c r="I588" t="s">
        <v>9840</v>
      </c>
      <c r="J588" t="s">
        <v>9841</v>
      </c>
      <c r="K588" t="s">
        <v>74</v>
      </c>
      <c r="L588" t="s">
        <v>74</v>
      </c>
      <c r="M588" t="s">
        <v>78</v>
      </c>
      <c r="N588" t="s">
        <v>106</v>
      </c>
      <c r="O588" t="s">
        <v>74</v>
      </c>
      <c r="P588" t="s">
        <v>74</v>
      </c>
      <c r="Q588" t="s">
        <v>74</v>
      </c>
      <c r="R588" t="s">
        <v>74</v>
      </c>
      <c r="S588" t="s">
        <v>74</v>
      </c>
      <c r="T588" t="s">
        <v>9842</v>
      </c>
      <c r="U588" t="s">
        <v>9843</v>
      </c>
      <c r="V588" t="s">
        <v>9844</v>
      </c>
      <c r="W588" t="s">
        <v>74</v>
      </c>
      <c r="X588" t="s">
        <v>74</v>
      </c>
      <c r="Y588" t="s">
        <v>74</v>
      </c>
      <c r="Z588" t="s">
        <v>74</v>
      </c>
      <c r="AA588" t="s">
        <v>74</v>
      </c>
      <c r="AB588" t="s">
        <v>9845</v>
      </c>
      <c r="AC588" t="s">
        <v>74</v>
      </c>
      <c r="AD588" t="s">
        <v>74</v>
      </c>
      <c r="AE588" t="s">
        <v>74</v>
      </c>
      <c r="AF588" t="s">
        <v>74</v>
      </c>
      <c r="AG588">
        <v>51</v>
      </c>
      <c r="AH588">
        <v>5</v>
      </c>
      <c r="AI588">
        <v>5</v>
      </c>
      <c r="AJ588">
        <v>0</v>
      </c>
      <c r="AK588">
        <v>2</v>
      </c>
      <c r="AL588" t="s">
        <v>9846</v>
      </c>
      <c r="AM588" t="s">
        <v>9847</v>
      </c>
      <c r="AN588" t="s">
        <v>9848</v>
      </c>
      <c r="AO588" t="s">
        <v>9849</v>
      </c>
      <c r="AP588" t="s">
        <v>74</v>
      </c>
      <c r="AQ588" t="s">
        <v>74</v>
      </c>
      <c r="AR588" t="s">
        <v>9850</v>
      </c>
      <c r="AS588" t="s">
        <v>9851</v>
      </c>
      <c r="AT588" t="s">
        <v>9266</v>
      </c>
      <c r="AU588">
        <v>2007</v>
      </c>
      <c r="AV588">
        <v>37</v>
      </c>
      <c r="AW588">
        <v>4</v>
      </c>
      <c r="AX588" t="s">
        <v>74</v>
      </c>
      <c r="AY588" t="s">
        <v>74</v>
      </c>
      <c r="AZ588" t="s">
        <v>74</v>
      </c>
      <c r="BA588" t="s">
        <v>74</v>
      </c>
      <c r="BB588">
        <v>204</v>
      </c>
      <c r="BC588">
        <v>211</v>
      </c>
      <c r="BD588" t="s">
        <v>74</v>
      </c>
      <c r="BE588" t="s">
        <v>74</v>
      </c>
      <c r="BF588" t="s">
        <v>74</v>
      </c>
      <c r="BG588" t="s">
        <v>74</v>
      </c>
      <c r="BH588" t="s">
        <v>74</v>
      </c>
      <c r="BI588">
        <v>8</v>
      </c>
      <c r="BJ588" t="s">
        <v>9852</v>
      </c>
      <c r="BK588" t="s">
        <v>97</v>
      </c>
      <c r="BL588" t="s">
        <v>9852</v>
      </c>
      <c r="BM588" t="s">
        <v>9853</v>
      </c>
      <c r="BN588" t="s">
        <v>74</v>
      </c>
      <c r="BO588" t="s">
        <v>74</v>
      </c>
      <c r="BP588" t="s">
        <v>74</v>
      </c>
      <c r="BQ588" t="s">
        <v>74</v>
      </c>
      <c r="BR588" t="s">
        <v>100</v>
      </c>
      <c r="BS588" t="s">
        <v>9854</v>
      </c>
      <c r="BT588" t="str">
        <f>HYPERLINK("https%3A%2F%2Fwww.webofscience.com%2Fwos%2Fwoscc%2Ffull-record%2FWOS:000256976600005","View Full Record in Web of Science")</f>
        <v>View Full Record in Web of Science</v>
      </c>
    </row>
    <row r="589" spans="1:72" x14ac:dyDescent="0.15">
      <c r="A589" t="s">
        <v>72</v>
      </c>
      <c r="B589" t="s">
        <v>9855</v>
      </c>
      <c r="C589" t="s">
        <v>74</v>
      </c>
      <c r="D589" t="s">
        <v>74</v>
      </c>
      <c r="E589" t="s">
        <v>74</v>
      </c>
      <c r="F589" t="s">
        <v>9856</v>
      </c>
      <c r="G589" t="s">
        <v>74</v>
      </c>
      <c r="H589" t="s">
        <v>74</v>
      </c>
      <c r="I589" t="s">
        <v>9857</v>
      </c>
      <c r="J589" t="s">
        <v>9858</v>
      </c>
      <c r="K589" t="s">
        <v>74</v>
      </c>
      <c r="L589" t="s">
        <v>74</v>
      </c>
      <c r="M589" t="s">
        <v>78</v>
      </c>
      <c r="N589" t="s">
        <v>79</v>
      </c>
      <c r="O589" t="s">
        <v>74</v>
      </c>
      <c r="P589" t="s">
        <v>74</v>
      </c>
      <c r="Q589" t="s">
        <v>74</v>
      </c>
      <c r="R589" t="s">
        <v>74</v>
      </c>
      <c r="S589" t="s">
        <v>74</v>
      </c>
      <c r="T589" t="s">
        <v>74</v>
      </c>
      <c r="U589" t="s">
        <v>74</v>
      </c>
      <c r="V589" t="s">
        <v>74</v>
      </c>
      <c r="W589" t="s">
        <v>9859</v>
      </c>
      <c r="X589" t="s">
        <v>9860</v>
      </c>
      <c r="Y589" t="s">
        <v>9861</v>
      </c>
      <c r="Z589" t="s">
        <v>9862</v>
      </c>
      <c r="AA589" t="s">
        <v>74</v>
      </c>
      <c r="AB589" t="s">
        <v>74</v>
      </c>
      <c r="AC589" t="s">
        <v>74</v>
      </c>
      <c r="AD589" t="s">
        <v>74</v>
      </c>
      <c r="AE589" t="s">
        <v>74</v>
      </c>
      <c r="AF589" t="s">
        <v>74</v>
      </c>
      <c r="AG589">
        <v>12</v>
      </c>
      <c r="AH589">
        <v>5</v>
      </c>
      <c r="AI589">
        <v>6</v>
      </c>
      <c r="AJ589">
        <v>0</v>
      </c>
      <c r="AK589">
        <v>1</v>
      </c>
      <c r="AL589" t="s">
        <v>9863</v>
      </c>
      <c r="AM589" t="s">
        <v>662</v>
      </c>
      <c r="AN589" t="s">
        <v>9864</v>
      </c>
      <c r="AO589" t="s">
        <v>9865</v>
      </c>
      <c r="AP589" t="s">
        <v>9866</v>
      </c>
      <c r="AQ589" t="s">
        <v>74</v>
      </c>
      <c r="AR589" t="s">
        <v>9867</v>
      </c>
      <c r="AS589" t="s">
        <v>9868</v>
      </c>
      <c r="AT589" t="s">
        <v>9266</v>
      </c>
      <c r="AU589">
        <v>2007</v>
      </c>
      <c r="AV589">
        <v>417</v>
      </c>
      <c r="AW589">
        <v>9</v>
      </c>
      <c r="AX589" t="s">
        <v>74</v>
      </c>
      <c r="AY589" t="s">
        <v>74</v>
      </c>
      <c r="AZ589" t="s">
        <v>74</v>
      </c>
      <c r="BA589" t="s">
        <v>74</v>
      </c>
      <c r="BB589">
        <v>1375</v>
      </c>
      <c r="BC589">
        <v>1379</v>
      </c>
      <c r="BD589" t="s">
        <v>74</v>
      </c>
      <c r="BE589" t="s">
        <v>9869</v>
      </c>
      <c r="BF589" t="str">
        <f>HYPERLINK("http://dx.doi.org/10.1134/S1028334X07090188","http://dx.doi.org/10.1134/S1028334X07090188")</f>
        <v>http://dx.doi.org/10.1134/S1028334X07090188</v>
      </c>
      <c r="BG589" t="s">
        <v>74</v>
      </c>
      <c r="BH589" t="s">
        <v>74</v>
      </c>
      <c r="BI589">
        <v>5</v>
      </c>
      <c r="BJ589" t="s">
        <v>96</v>
      </c>
      <c r="BK589" t="s">
        <v>97</v>
      </c>
      <c r="BL589" t="s">
        <v>98</v>
      </c>
      <c r="BM589" t="s">
        <v>9870</v>
      </c>
      <c r="BN589" t="s">
        <v>74</v>
      </c>
      <c r="BO589" t="s">
        <v>74</v>
      </c>
      <c r="BP589" t="s">
        <v>74</v>
      </c>
      <c r="BQ589" t="s">
        <v>74</v>
      </c>
      <c r="BR589" t="s">
        <v>100</v>
      </c>
      <c r="BS589" t="s">
        <v>9871</v>
      </c>
      <c r="BT589" t="str">
        <f>HYPERLINK("https%3A%2F%2Fwww.webofscience.com%2Fwos%2Fwoscc%2Ffull-record%2FWOS:000252252700018","View Full Record in Web of Science")</f>
        <v>View Full Record in Web of Science</v>
      </c>
    </row>
    <row r="590" spans="1:72" x14ac:dyDescent="0.15">
      <c r="A590" t="s">
        <v>72</v>
      </c>
      <c r="B590" t="s">
        <v>9872</v>
      </c>
      <c r="C590" t="s">
        <v>74</v>
      </c>
      <c r="D590" t="s">
        <v>74</v>
      </c>
      <c r="E590" t="s">
        <v>74</v>
      </c>
      <c r="F590" t="s">
        <v>9873</v>
      </c>
      <c r="G590" t="s">
        <v>74</v>
      </c>
      <c r="H590" t="s">
        <v>74</v>
      </c>
      <c r="I590" t="s">
        <v>9874</v>
      </c>
      <c r="J590" t="s">
        <v>9858</v>
      </c>
      <c r="K590" t="s">
        <v>74</v>
      </c>
      <c r="L590" t="s">
        <v>74</v>
      </c>
      <c r="M590" t="s">
        <v>78</v>
      </c>
      <c r="N590" t="s">
        <v>79</v>
      </c>
      <c r="O590" t="s">
        <v>74</v>
      </c>
      <c r="P590" t="s">
        <v>74</v>
      </c>
      <c r="Q590" t="s">
        <v>74</v>
      </c>
      <c r="R590" t="s">
        <v>74</v>
      </c>
      <c r="S590" t="s">
        <v>74</v>
      </c>
      <c r="T590" t="s">
        <v>74</v>
      </c>
      <c r="U590" t="s">
        <v>74</v>
      </c>
      <c r="V590" t="s">
        <v>74</v>
      </c>
      <c r="W590" t="s">
        <v>9875</v>
      </c>
      <c r="X590" t="s">
        <v>3094</v>
      </c>
      <c r="Y590" t="s">
        <v>9876</v>
      </c>
      <c r="Z590" t="s">
        <v>9877</v>
      </c>
      <c r="AA590" t="s">
        <v>74</v>
      </c>
      <c r="AB590" t="s">
        <v>74</v>
      </c>
      <c r="AC590" t="s">
        <v>74</v>
      </c>
      <c r="AD590" t="s">
        <v>74</v>
      </c>
      <c r="AE590" t="s">
        <v>74</v>
      </c>
      <c r="AF590" t="s">
        <v>74</v>
      </c>
      <c r="AG590">
        <v>14</v>
      </c>
      <c r="AH590">
        <v>3</v>
      </c>
      <c r="AI590">
        <v>3</v>
      </c>
      <c r="AJ590">
        <v>0</v>
      </c>
      <c r="AK590">
        <v>15</v>
      </c>
      <c r="AL590" t="s">
        <v>9863</v>
      </c>
      <c r="AM590" t="s">
        <v>662</v>
      </c>
      <c r="AN590" t="s">
        <v>9864</v>
      </c>
      <c r="AO590" t="s">
        <v>9865</v>
      </c>
      <c r="AP590" t="s">
        <v>9866</v>
      </c>
      <c r="AQ590" t="s">
        <v>74</v>
      </c>
      <c r="AR590" t="s">
        <v>9867</v>
      </c>
      <c r="AS590" t="s">
        <v>9868</v>
      </c>
      <c r="AT590" t="s">
        <v>9266</v>
      </c>
      <c r="AU590">
        <v>2007</v>
      </c>
      <c r="AV590">
        <v>417</v>
      </c>
      <c r="AW590">
        <v>9</v>
      </c>
      <c r="AX590" t="s">
        <v>74</v>
      </c>
      <c r="AY590" t="s">
        <v>74</v>
      </c>
      <c r="AZ590" t="s">
        <v>74</v>
      </c>
      <c r="BA590" t="s">
        <v>74</v>
      </c>
      <c r="BB590">
        <v>1398</v>
      </c>
      <c r="BC590">
        <v>1401</v>
      </c>
      <c r="BD590" t="s">
        <v>74</v>
      </c>
      <c r="BE590" t="s">
        <v>9878</v>
      </c>
      <c r="BF590" t="str">
        <f>HYPERLINK("http://dx.doi.org/10.1134/S1028334X0709022X","http://dx.doi.org/10.1134/S1028334X0709022X")</f>
        <v>http://dx.doi.org/10.1134/S1028334X0709022X</v>
      </c>
      <c r="BG590" t="s">
        <v>74</v>
      </c>
      <c r="BH590" t="s">
        <v>74</v>
      </c>
      <c r="BI590">
        <v>4</v>
      </c>
      <c r="BJ590" t="s">
        <v>96</v>
      </c>
      <c r="BK590" t="s">
        <v>97</v>
      </c>
      <c r="BL590" t="s">
        <v>98</v>
      </c>
      <c r="BM590" t="s">
        <v>9870</v>
      </c>
      <c r="BN590" t="s">
        <v>74</v>
      </c>
      <c r="BO590" t="s">
        <v>74</v>
      </c>
      <c r="BP590" t="s">
        <v>74</v>
      </c>
      <c r="BQ590" t="s">
        <v>74</v>
      </c>
      <c r="BR590" t="s">
        <v>100</v>
      </c>
      <c r="BS590" t="s">
        <v>9879</v>
      </c>
      <c r="BT590" t="str">
        <f>HYPERLINK("https%3A%2F%2Fwww.webofscience.com%2Fwos%2Fwoscc%2Ffull-record%2FWOS:000252252700022","View Full Record in Web of Science")</f>
        <v>View Full Record in Web of Science</v>
      </c>
    </row>
    <row r="591" spans="1:72" x14ac:dyDescent="0.15">
      <c r="A591" t="s">
        <v>72</v>
      </c>
      <c r="B591" t="s">
        <v>9880</v>
      </c>
      <c r="C591" t="s">
        <v>74</v>
      </c>
      <c r="D591" t="s">
        <v>74</v>
      </c>
      <c r="E591" t="s">
        <v>74</v>
      </c>
      <c r="F591" t="s">
        <v>9881</v>
      </c>
      <c r="G591" t="s">
        <v>74</v>
      </c>
      <c r="H591" t="s">
        <v>74</v>
      </c>
      <c r="I591" t="s">
        <v>9882</v>
      </c>
      <c r="J591" t="s">
        <v>9883</v>
      </c>
      <c r="K591" t="s">
        <v>74</v>
      </c>
      <c r="L591" t="s">
        <v>74</v>
      </c>
      <c r="M591" t="s">
        <v>78</v>
      </c>
      <c r="N591" t="s">
        <v>79</v>
      </c>
      <c r="O591" t="s">
        <v>74</v>
      </c>
      <c r="P591" t="s">
        <v>74</v>
      </c>
      <c r="Q591" t="s">
        <v>74</v>
      </c>
      <c r="R591" t="s">
        <v>74</v>
      </c>
      <c r="S591" t="s">
        <v>74</v>
      </c>
      <c r="T591" t="s">
        <v>9884</v>
      </c>
      <c r="U591" t="s">
        <v>9885</v>
      </c>
      <c r="V591" t="s">
        <v>9886</v>
      </c>
      <c r="W591" t="s">
        <v>9887</v>
      </c>
      <c r="X591" t="s">
        <v>9888</v>
      </c>
      <c r="Y591" t="s">
        <v>9889</v>
      </c>
      <c r="Z591" t="s">
        <v>9890</v>
      </c>
      <c r="AA591" t="s">
        <v>9891</v>
      </c>
      <c r="AB591" t="s">
        <v>9892</v>
      </c>
      <c r="AC591" t="s">
        <v>9893</v>
      </c>
      <c r="AD591" t="s">
        <v>9894</v>
      </c>
      <c r="AE591" t="s">
        <v>74</v>
      </c>
      <c r="AF591" t="s">
        <v>74</v>
      </c>
      <c r="AG591">
        <v>42</v>
      </c>
      <c r="AH591">
        <v>35</v>
      </c>
      <c r="AI591">
        <v>46</v>
      </c>
      <c r="AJ591">
        <v>1</v>
      </c>
      <c r="AK591">
        <v>12</v>
      </c>
      <c r="AL591" t="s">
        <v>88</v>
      </c>
      <c r="AM591" t="s">
        <v>89</v>
      </c>
      <c r="AN591" t="s">
        <v>90</v>
      </c>
      <c r="AO591" t="s">
        <v>9895</v>
      </c>
      <c r="AP591" t="s">
        <v>9896</v>
      </c>
      <c r="AQ591" t="s">
        <v>74</v>
      </c>
      <c r="AR591" t="s">
        <v>9897</v>
      </c>
      <c r="AS591" t="s">
        <v>9898</v>
      </c>
      <c r="AT591" t="s">
        <v>9266</v>
      </c>
      <c r="AU591">
        <v>2007</v>
      </c>
      <c r="AV591">
        <v>274</v>
      </c>
      <c r="AW591">
        <v>23</v>
      </c>
      <c r="AX591" t="s">
        <v>74</v>
      </c>
      <c r="AY591" t="s">
        <v>74</v>
      </c>
      <c r="AZ591" t="s">
        <v>74</v>
      </c>
      <c r="BA591" t="s">
        <v>74</v>
      </c>
      <c r="BB591">
        <v>6152</v>
      </c>
      <c r="BC591">
        <v>6166</v>
      </c>
      <c r="BD591" t="s">
        <v>74</v>
      </c>
      <c r="BE591" t="s">
        <v>9899</v>
      </c>
      <c r="BF591" t="str">
        <f>HYPERLINK("http://dx.doi.org/10.1111/j.1742-4658.2007.06136.x","http://dx.doi.org/10.1111/j.1742-4658.2007.06136.x")</f>
        <v>http://dx.doi.org/10.1111/j.1742-4658.2007.06136.x</v>
      </c>
      <c r="BG591" t="s">
        <v>74</v>
      </c>
      <c r="BH591" t="s">
        <v>74</v>
      </c>
      <c r="BI591">
        <v>15</v>
      </c>
      <c r="BJ591" t="s">
        <v>7853</v>
      </c>
      <c r="BK591" t="s">
        <v>97</v>
      </c>
      <c r="BL591" t="s">
        <v>7853</v>
      </c>
      <c r="BM591" t="s">
        <v>9900</v>
      </c>
      <c r="BN591">
        <v>17976195</v>
      </c>
      <c r="BO591" t="s">
        <v>250</v>
      </c>
      <c r="BP591" t="s">
        <v>74</v>
      </c>
      <c r="BQ591" t="s">
        <v>74</v>
      </c>
      <c r="BR591" t="s">
        <v>100</v>
      </c>
      <c r="BS591" t="s">
        <v>9901</v>
      </c>
      <c r="BT591" t="str">
        <f>HYPERLINK("https%3A%2F%2Fwww.webofscience.com%2Fwos%2Fwoscc%2Ffull-record%2FWOS:000251026100013","View Full Record in Web of Science")</f>
        <v>View Full Record in Web of Science</v>
      </c>
    </row>
    <row r="592" spans="1:72" x14ac:dyDescent="0.15">
      <c r="A592" t="s">
        <v>72</v>
      </c>
      <c r="B592" t="s">
        <v>9902</v>
      </c>
      <c r="C592" t="s">
        <v>74</v>
      </c>
      <c r="D592" t="s">
        <v>74</v>
      </c>
      <c r="E592" t="s">
        <v>74</v>
      </c>
      <c r="F592" t="s">
        <v>9903</v>
      </c>
      <c r="G592" t="s">
        <v>74</v>
      </c>
      <c r="H592" t="s">
        <v>74</v>
      </c>
      <c r="I592" t="s">
        <v>9904</v>
      </c>
      <c r="J592" t="s">
        <v>9905</v>
      </c>
      <c r="K592" t="s">
        <v>74</v>
      </c>
      <c r="L592" t="s">
        <v>74</v>
      </c>
      <c r="M592" t="s">
        <v>78</v>
      </c>
      <c r="N592" t="s">
        <v>79</v>
      </c>
      <c r="O592" t="s">
        <v>74</v>
      </c>
      <c r="P592" t="s">
        <v>74</v>
      </c>
      <c r="Q592" t="s">
        <v>74</v>
      </c>
      <c r="R592" t="s">
        <v>74</v>
      </c>
      <c r="S592" t="s">
        <v>74</v>
      </c>
      <c r="T592" t="s">
        <v>9906</v>
      </c>
      <c r="U592" t="s">
        <v>9907</v>
      </c>
      <c r="V592" t="s">
        <v>9908</v>
      </c>
      <c r="W592" t="s">
        <v>9909</v>
      </c>
      <c r="X592" t="s">
        <v>9910</v>
      </c>
      <c r="Y592" t="s">
        <v>9911</v>
      </c>
      <c r="Z592" t="s">
        <v>9912</v>
      </c>
      <c r="AA592" t="s">
        <v>9913</v>
      </c>
      <c r="AB592" t="s">
        <v>9914</v>
      </c>
      <c r="AC592" t="s">
        <v>6055</v>
      </c>
      <c r="AD592" t="s">
        <v>444</v>
      </c>
      <c r="AE592" t="s">
        <v>74</v>
      </c>
      <c r="AF592" t="s">
        <v>74</v>
      </c>
      <c r="AG592">
        <v>92</v>
      </c>
      <c r="AH592">
        <v>97</v>
      </c>
      <c r="AI592">
        <v>106</v>
      </c>
      <c r="AJ592">
        <v>2</v>
      </c>
      <c r="AK592">
        <v>43</v>
      </c>
      <c r="AL592" t="s">
        <v>1219</v>
      </c>
      <c r="AM592" t="s">
        <v>89</v>
      </c>
      <c r="AN592" t="s">
        <v>90</v>
      </c>
      <c r="AO592" t="s">
        <v>9915</v>
      </c>
      <c r="AP592" t="s">
        <v>9916</v>
      </c>
      <c r="AQ592" t="s">
        <v>74</v>
      </c>
      <c r="AR592" t="s">
        <v>9917</v>
      </c>
      <c r="AS592" t="s">
        <v>9918</v>
      </c>
      <c r="AT592" t="s">
        <v>9266</v>
      </c>
      <c r="AU592">
        <v>2007</v>
      </c>
      <c r="AV592">
        <v>8</v>
      </c>
      <c r="AW592">
        <v>4</v>
      </c>
      <c r="AX592" t="s">
        <v>74</v>
      </c>
      <c r="AY592" t="s">
        <v>74</v>
      </c>
      <c r="AZ592" t="s">
        <v>74</v>
      </c>
      <c r="BA592" t="s">
        <v>74</v>
      </c>
      <c r="BB592">
        <v>315</v>
      </c>
      <c r="BC592">
        <v>336</v>
      </c>
      <c r="BD592" t="s">
        <v>74</v>
      </c>
      <c r="BE592" t="s">
        <v>9919</v>
      </c>
      <c r="BF592" t="str">
        <f>HYPERLINK("http://dx.doi.org/10.1111/j.1467-2979.2007.00257.x","http://dx.doi.org/10.1111/j.1467-2979.2007.00257.x")</f>
        <v>http://dx.doi.org/10.1111/j.1467-2979.2007.00257.x</v>
      </c>
      <c r="BG592" t="s">
        <v>74</v>
      </c>
      <c r="BH592" t="s">
        <v>74</v>
      </c>
      <c r="BI592">
        <v>22</v>
      </c>
      <c r="BJ592" t="s">
        <v>2808</v>
      </c>
      <c r="BK592" t="s">
        <v>97</v>
      </c>
      <c r="BL592" t="s">
        <v>2808</v>
      </c>
      <c r="BM592" t="s">
        <v>9920</v>
      </c>
      <c r="BN592" t="s">
        <v>74</v>
      </c>
      <c r="BO592" t="s">
        <v>592</v>
      </c>
      <c r="BP592" t="s">
        <v>74</v>
      </c>
      <c r="BQ592" t="s">
        <v>74</v>
      </c>
      <c r="BR592" t="s">
        <v>100</v>
      </c>
      <c r="BS592" t="s">
        <v>9921</v>
      </c>
      <c r="BT592" t="str">
        <f>HYPERLINK("https%3A%2F%2Fwww.webofscience.com%2Fwos%2Fwoscc%2Ffull-record%2FWOS:000250916400003","View Full Record in Web of Science")</f>
        <v>View Full Record in Web of Science</v>
      </c>
    </row>
    <row r="593" spans="1:72" x14ac:dyDescent="0.15">
      <c r="A593" t="s">
        <v>72</v>
      </c>
      <c r="B593" t="s">
        <v>9922</v>
      </c>
      <c r="C593" t="s">
        <v>74</v>
      </c>
      <c r="D593" t="s">
        <v>74</v>
      </c>
      <c r="E593" t="s">
        <v>74</v>
      </c>
      <c r="F593" t="s">
        <v>9923</v>
      </c>
      <c r="G593" t="s">
        <v>74</v>
      </c>
      <c r="H593" t="s">
        <v>74</v>
      </c>
      <c r="I593" t="s">
        <v>9924</v>
      </c>
      <c r="J593" t="s">
        <v>9925</v>
      </c>
      <c r="K593" t="s">
        <v>74</v>
      </c>
      <c r="L593" t="s">
        <v>74</v>
      </c>
      <c r="M593" t="s">
        <v>78</v>
      </c>
      <c r="N593" t="s">
        <v>79</v>
      </c>
      <c r="O593" t="s">
        <v>74</v>
      </c>
      <c r="P593" t="s">
        <v>74</v>
      </c>
      <c r="Q593" t="s">
        <v>74</v>
      </c>
      <c r="R593" t="s">
        <v>74</v>
      </c>
      <c r="S593" t="s">
        <v>74</v>
      </c>
      <c r="T593" t="s">
        <v>74</v>
      </c>
      <c r="U593" t="s">
        <v>9926</v>
      </c>
      <c r="V593" t="s">
        <v>9927</v>
      </c>
      <c r="W593" t="s">
        <v>9928</v>
      </c>
      <c r="X593" t="s">
        <v>9929</v>
      </c>
      <c r="Y593" t="s">
        <v>9930</v>
      </c>
      <c r="Z593" t="s">
        <v>9931</v>
      </c>
      <c r="AA593" t="s">
        <v>74</v>
      </c>
      <c r="AB593" t="s">
        <v>74</v>
      </c>
      <c r="AC593" t="s">
        <v>74</v>
      </c>
      <c r="AD593" t="s">
        <v>74</v>
      </c>
      <c r="AE593" t="s">
        <v>74</v>
      </c>
      <c r="AF593" t="s">
        <v>74</v>
      </c>
      <c r="AG593">
        <v>24</v>
      </c>
      <c r="AH593">
        <v>11</v>
      </c>
      <c r="AI593">
        <v>11</v>
      </c>
      <c r="AJ593">
        <v>0</v>
      </c>
      <c r="AK593">
        <v>17</v>
      </c>
      <c r="AL593" t="s">
        <v>1265</v>
      </c>
      <c r="AM593" t="s">
        <v>662</v>
      </c>
      <c r="AN593" t="s">
        <v>1266</v>
      </c>
      <c r="AO593" t="s">
        <v>9932</v>
      </c>
      <c r="AP593" t="s">
        <v>9933</v>
      </c>
      <c r="AQ593" t="s">
        <v>74</v>
      </c>
      <c r="AR593" t="s">
        <v>9934</v>
      </c>
      <c r="AS593" t="s">
        <v>9935</v>
      </c>
      <c r="AT593" t="s">
        <v>9266</v>
      </c>
      <c r="AU593">
        <v>2007</v>
      </c>
      <c r="AV593">
        <v>27</v>
      </c>
      <c r="AW593">
        <v>6</v>
      </c>
      <c r="AX593" t="s">
        <v>74</v>
      </c>
      <c r="AY593" t="s">
        <v>74</v>
      </c>
      <c r="AZ593" t="s">
        <v>74</v>
      </c>
      <c r="BA593" t="s">
        <v>74</v>
      </c>
      <c r="BB593">
        <v>383</v>
      </c>
      <c r="BC593">
        <v>389</v>
      </c>
      <c r="BD593" t="s">
        <v>74</v>
      </c>
      <c r="BE593" t="s">
        <v>9936</v>
      </c>
      <c r="BF593" t="str">
        <f>HYPERLINK("http://dx.doi.org/10.1007/s00367-007-0059-1","http://dx.doi.org/10.1007/s00367-007-0059-1")</f>
        <v>http://dx.doi.org/10.1007/s00367-007-0059-1</v>
      </c>
      <c r="BG593" t="s">
        <v>74</v>
      </c>
      <c r="BH593" t="s">
        <v>74</v>
      </c>
      <c r="BI593">
        <v>7</v>
      </c>
      <c r="BJ593" t="s">
        <v>9937</v>
      </c>
      <c r="BK593" t="s">
        <v>97</v>
      </c>
      <c r="BL593" t="s">
        <v>2124</v>
      </c>
      <c r="BM593" t="s">
        <v>9938</v>
      </c>
      <c r="BN593" t="s">
        <v>74</v>
      </c>
      <c r="BO593" t="s">
        <v>74</v>
      </c>
      <c r="BP593" t="s">
        <v>74</v>
      </c>
      <c r="BQ593" t="s">
        <v>74</v>
      </c>
      <c r="BR593" t="s">
        <v>100</v>
      </c>
      <c r="BS593" t="s">
        <v>9939</v>
      </c>
      <c r="BT593" t="str">
        <f>HYPERLINK("https%3A%2F%2Fwww.webofscience.com%2Fwos%2Fwoscc%2Ffull-record%2FWOS:000250978200002","View Full Record in Web of Science")</f>
        <v>View Full Record in Web of Science</v>
      </c>
    </row>
    <row r="594" spans="1:72" x14ac:dyDescent="0.15">
      <c r="A594" t="s">
        <v>72</v>
      </c>
      <c r="B594" t="s">
        <v>9940</v>
      </c>
      <c r="C594" t="s">
        <v>74</v>
      </c>
      <c r="D594" t="s">
        <v>74</v>
      </c>
      <c r="E594" t="s">
        <v>74</v>
      </c>
      <c r="F594" t="s">
        <v>9941</v>
      </c>
      <c r="G594" t="s">
        <v>74</v>
      </c>
      <c r="H594" t="s">
        <v>74</v>
      </c>
      <c r="I594" t="s">
        <v>9942</v>
      </c>
      <c r="J594" t="s">
        <v>9943</v>
      </c>
      <c r="K594" t="s">
        <v>74</v>
      </c>
      <c r="L594" t="s">
        <v>74</v>
      </c>
      <c r="M594" t="s">
        <v>78</v>
      </c>
      <c r="N594" t="s">
        <v>79</v>
      </c>
      <c r="O594" t="s">
        <v>74</v>
      </c>
      <c r="P594" t="s">
        <v>74</v>
      </c>
      <c r="Q594" t="s">
        <v>74</v>
      </c>
      <c r="R594" t="s">
        <v>74</v>
      </c>
      <c r="S594" t="s">
        <v>74</v>
      </c>
      <c r="T594" t="s">
        <v>74</v>
      </c>
      <c r="U594" t="s">
        <v>9944</v>
      </c>
      <c r="V594" t="s">
        <v>9945</v>
      </c>
      <c r="W594" t="s">
        <v>9946</v>
      </c>
      <c r="X594" t="s">
        <v>9947</v>
      </c>
      <c r="Y594" t="s">
        <v>9948</v>
      </c>
      <c r="Z594" t="s">
        <v>74</v>
      </c>
      <c r="AA594" t="s">
        <v>9949</v>
      </c>
      <c r="AB594" t="s">
        <v>9950</v>
      </c>
      <c r="AC594" t="s">
        <v>74</v>
      </c>
      <c r="AD594" t="s">
        <v>74</v>
      </c>
      <c r="AE594" t="s">
        <v>74</v>
      </c>
      <c r="AF594" t="s">
        <v>74</v>
      </c>
      <c r="AG594">
        <v>70</v>
      </c>
      <c r="AH594">
        <v>1</v>
      </c>
      <c r="AI594">
        <v>1</v>
      </c>
      <c r="AJ594">
        <v>0</v>
      </c>
      <c r="AK594">
        <v>1</v>
      </c>
      <c r="AL594" t="s">
        <v>9863</v>
      </c>
      <c r="AM594" t="s">
        <v>662</v>
      </c>
      <c r="AN594" t="s">
        <v>9864</v>
      </c>
      <c r="AO594" t="s">
        <v>9951</v>
      </c>
      <c r="AP594" t="s">
        <v>9952</v>
      </c>
      <c r="AQ594" t="s">
        <v>74</v>
      </c>
      <c r="AR594" t="s">
        <v>9953</v>
      </c>
      <c r="AS594" t="s">
        <v>9954</v>
      </c>
      <c r="AT594" t="s">
        <v>9266</v>
      </c>
      <c r="AU594">
        <v>2007</v>
      </c>
      <c r="AV594">
        <v>47</v>
      </c>
      <c r="AW594">
        <v>6</v>
      </c>
      <c r="AX594" t="s">
        <v>74</v>
      </c>
      <c r="AY594" t="s">
        <v>74</v>
      </c>
      <c r="AZ594" t="s">
        <v>74</v>
      </c>
      <c r="BA594" t="s">
        <v>74</v>
      </c>
      <c r="BB594" t="s">
        <v>9955</v>
      </c>
      <c r="BC594">
        <v>695</v>
      </c>
      <c r="BD594" t="s">
        <v>74</v>
      </c>
      <c r="BE594" t="s">
        <v>9956</v>
      </c>
      <c r="BF594" t="str">
        <f>HYPERLINK("http://dx.doi.org/10.1134/S0016793207060011","http://dx.doi.org/10.1134/S0016793207060011")</f>
        <v>http://dx.doi.org/10.1134/S0016793207060011</v>
      </c>
      <c r="BG594" t="s">
        <v>74</v>
      </c>
      <c r="BH594" t="s">
        <v>74</v>
      </c>
      <c r="BI594">
        <v>13</v>
      </c>
      <c r="BJ594" t="s">
        <v>553</v>
      </c>
      <c r="BK594" t="s">
        <v>97</v>
      </c>
      <c r="BL594" t="s">
        <v>553</v>
      </c>
      <c r="BM594" t="s">
        <v>9957</v>
      </c>
      <c r="BN594" t="s">
        <v>74</v>
      </c>
      <c r="BO594" t="s">
        <v>74</v>
      </c>
      <c r="BP594" t="s">
        <v>74</v>
      </c>
      <c r="BQ594" t="s">
        <v>74</v>
      </c>
      <c r="BR594" t="s">
        <v>100</v>
      </c>
      <c r="BS594" t="s">
        <v>9958</v>
      </c>
      <c r="BT594" t="str">
        <f>HYPERLINK("https%3A%2F%2Fwww.webofscience.com%2Fwos%2Fwoscc%2Ffull-record%2FWOS:000251499300001","View Full Record in Web of Science")</f>
        <v>View Full Record in Web of Science</v>
      </c>
    </row>
    <row r="595" spans="1:72" x14ac:dyDescent="0.15">
      <c r="A595" t="s">
        <v>72</v>
      </c>
      <c r="B595" t="s">
        <v>9959</v>
      </c>
      <c r="C595" t="s">
        <v>74</v>
      </c>
      <c r="D595" t="s">
        <v>74</v>
      </c>
      <c r="E595" t="s">
        <v>74</v>
      </c>
      <c r="F595" t="s">
        <v>9960</v>
      </c>
      <c r="G595" t="s">
        <v>74</v>
      </c>
      <c r="H595" t="s">
        <v>74</v>
      </c>
      <c r="I595" t="s">
        <v>9961</v>
      </c>
      <c r="J595" t="s">
        <v>9962</v>
      </c>
      <c r="K595" t="s">
        <v>74</v>
      </c>
      <c r="L595" t="s">
        <v>74</v>
      </c>
      <c r="M595" t="s">
        <v>78</v>
      </c>
      <c r="N595" t="s">
        <v>79</v>
      </c>
      <c r="O595" t="s">
        <v>74</v>
      </c>
      <c r="P595" t="s">
        <v>74</v>
      </c>
      <c r="Q595" t="s">
        <v>74</v>
      </c>
      <c r="R595" t="s">
        <v>74</v>
      </c>
      <c r="S595" t="s">
        <v>74</v>
      </c>
      <c r="T595" t="s">
        <v>9963</v>
      </c>
      <c r="U595" t="s">
        <v>9964</v>
      </c>
      <c r="V595" t="s">
        <v>9965</v>
      </c>
      <c r="W595" t="s">
        <v>9966</v>
      </c>
      <c r="X595" t="s">
        <v>9967</v>
      </c>
      <c r="Y595" t="s">
        <v>9968</v>
      </c>
      <c r="Z595" t="s">
        <v>9969</v>
      </c>
      <c r="AA595" t="s">
        <v>9970</v>
      </c>
      <c r="AB595" t="s">
        <v>9971</v>
      </c>
      <c r="AC595" t="s">
        <v>4792</v>
      </c>
      <c r="AD595" t="s">
        <v>444</v>
      </c>
      <c r="AE595" t="s">
        <v>74</v>
      </c>
      <c r="AF595" t="s">
        <v>74</v>
      </c>
      <c r="AG595">
        <v>48</v>
      </c>
      <c r="AH595">
        <v>62</v>
      </c>
      <c r="AI595">
        <v>72</v>
      </c>
      <c r="AJ595">
        <v>3</v>
      </c>
      <c r="AK595">
        <v>73</v>
      </c>
      <c r="AL595" t="s">
        <v>1219</v>
      </c>
      <c r="AM595" t="s">
        <v>89</v>
      </c>
      <c r="AN595" t="s">
        <v>90</v>
      </c>
      <c r="AO595" t="s">
        <v>9972</v>
      </c>
      <c r="AP595" t="s">
        <v>9973</v>
      </c>
      <c r="AQ595" t="s">
        <v>74</v>
      </c>
      <c r="AR595" t="s">
        <v>9974</v>
      </c>
      <c r="AS595" t="s">
        <v>9975</v>
      </c>
      <c r="AT595" t="s">
        <v>9266</v>
      </c>
      <c r="AU595">
        <v>2007</v>
      </c>
      <c r="AV595">
        <v>13</v>
      </c>
      <c r="AW595">
        <v>12</v>
      </c>
      <c r="AX595" t="s">
        <v>74</v>
      </c>
      <c r="AY595" t="s">
        <v>74</v>
      </c>
      <c r="AZ595" t="s">
        <v>74</v>
      </c>
      <c r="BA595" t="s">
        <v>74</v>
      </c>
      <c r="BB595">
        <v>2642</v>
      </c>
      <c r="BC595">
        <v>2653</v>
      </c>
      <c r="BD595" t="s">
        <v>74</v>
      </c>
      <c r="BE595" t="s">
        <v>9976</v>
      </c>
      <c r="BF595" t="str">
        <f>HYPERLINK("http://dx.doi.org/10.1111/j.1365-2486.2007.01468.x","http://dx.doi.org/10.1111/j.1365-2486.2007.01468.x")</f>
        <v>http://dx.doi.org/10.1111/j.1365-2486.2007.01468.x</v>
      </c>
      <c r="BG595" t="s">
        <v>74</v>
      </c>
      <c r="BH595" t="s">
        <v>74</v>
      </c>
      <c r="BI595">
        <v>12</v>
      </c>
      <c r="BJ595" t="s">
        <v>9977</v>
      </c>
      <c r="BK595" t="s">
        <v>97</v>
      </c>
      <c r="BL595" t="s">
        <v>7283</v>
      </c>
      <c r="BM595" t="s">
        <v>9978</v>
      </c>
      <c r="BN595" t="s">
        <v>74</v>
      </c>
      <c r="BO595" t="s">
        <v>74</v>
      </c>
      <c r="BP595" t="s">
        <v>74</v>
      </c>
      <c r="BQ595" t="s">
        <v>74</v>
      </c>
      <c r="BR595" t="s">
        <v>100</v>
      </c>
      <c r="BS595" t="s">
        <v>9979</v>
      </c>
      <c r="BT595" t="str">
        <f>HYPERLINK("https%3A%2F%2Fwww.webofscience.com%2Fwos%2Fwoscc%2Ffull-record%2FWOS:000251049000013","View Full Record in Web of Science")</f>
        <v>View Full Record in Web of Science</v>
      </c>
    </row>
    <row r="596" spans="1:72" x14ac:dyDescent="0.15">
      <c r="A596" t="s">
        <v>72</v>
      </c>
      <c r="B596" t="s">
        <v>9980</v>
      </c>
      <c r="C596" t="s">
        <v>74</v>
      </c>
      <c r="D596" t="s">
        <v>74</v>
      </c>
      <c r="E596" t="s">
        <v>74</v>
      </c>
      <c r="F596" t="s">
        <v>9981</v>
      </c>
      <c r="G596" t="s">
        <v>74</v>
      </c>
      <c r="H596" t="s">
        <v>74</v>
      </c>
      <c r="I596" t="s">
        <v>9982</v>
      </c>
      <c r="J596" t="s">
        <v>9983</v>
      </c>
      <c r="K596" t="s">
        <v>74</v>
      </c>
      <c r="L596" t="s">
        <v>74</v>
      </c>
      <c r="M596" t="s">
        <v>78</v>
      </c>
      <c r="N596" t="s">
        <v>79</v>
      </c>
      <c r="O596" t="s">
        <v>74</v>
      </c>
      <c r="P596" t="s">
        <v>74</v>
      </c>
      <c r="Q596" t="s">
        <v>74</v>
      </c>
      <c r="R596" t="s">
        <v>74</v>
      </c>
      <c r="S596" t="s">
        <v>74</v>
      </c>
      <c r="T596" t="s">
        <v>9984</v>
      </c>
      <c r="U596" t="s">
        <v>9985</v>
      </c>
      <c r="V596" t="s">
        <v>9986</v>
      </c>
      <c r="W596" t="s">
        <v>9987</v>
      </c>
      <c r="X596" t="s">
        <v>9988</v>
      </c>
      <c r="Y596" t="s">
        <v>9989</v>
      </c>
      <c r="Z596" t="s">
        <v>9990</v>
      </c>
      <c r="AA596" t="s">
        <v>74</v>
      </c>
      <c r="AB596" t="s">
        <v>74</v>
      </c>
      <c r="AC596" t="s">
        <v>74</v>
      </c>
      <c r="AD596" t="s">
        <v>74</v>
      </c>
      <c r="AE596" t="s">
        <v>74</v>
      </c>
      <c r="AF596" t="s">
        <v>74</v>
      </c>
      <c r="AG596">
        <v>24</v>
      </c>
      <c r="AH596">
        <v>54</v>
      </c>
      <c r="AI596">
        <v>62</v>
      </c>
      <c r="AJ596">
        <v>0</v>
      </c>
      <c r="AK596">
        <v>11</v>
      </c>
      <c r="AL596" t="s">
        <v>9991</v>
      </c>
      <c r="AM596" t="s">
        <v>118</v>
      </c>
      <c r="AN596" t="s">
        <v>9992</v>
      </c>
      <c r="AO596" t="s">
        <v>9993</v>
      </c>
      <c r="AP596" t="s">
        <v>74</v>
      </c>
      <c r="AQ596" t="s">
        <v>74</v>
      </c>
      <c r="AR596" t="s">
        <v>9983</v>
      </c>
      <c r="AS596" t="s">
        <v>9994</v>
      </c>
      <c r="AT596" t="s">
        <v>9266</v>
      </c>
      <c r="AU596">
        <v>2007</v>
      </c>
      <c r="AV596">
        <v>17</v>
      </c>
      <c r="AW596">
        <v>8</v>
      </c>
      <c r="AX596" t="s">
        <v>74</v>
      </c>
      <c r="AY596" t="s">
        <v>74</v>
      </c>
      <c r="AZ596" t="s">
        <v>74</v>
      </c>
      <c r="BA596" t="s">
        <v>74</v>
      </c>
      <c r="BB596">
        <v>1253</v>
      </c>
      <c r="BC596">
        <v>1258</v>
      </c>
      <c r="BD596" t="s">
        <v>74</v>
      </c>
      <c r="BE596" t="s">
        <v>9995</v>
      </c>
      <c r="BF596" t="str">
        <f>HYPERLINK("http://dx.doi.org/10.1177/0959683607085132","http://dx.doi.org/10.1177/0959683607085132")</f>
        <v>http://dx.doi.org/10.1177/0959683607085132</v>
      </c>
      <c r="BG596" t="s">
        <v>74</v>
      </c>
      <c r="BH596" t="s">
        <v>74</v>
      </c>
      <c r="BI596">
        <v>6</v>
      </c>
      <c r="BJ596" t="s">
        <v>2748</v>
      </c>
      <c r="BK596" t="s">
        <v>97</v>
      </c>
      <c r="BL596" t="s">
        <v>2749</v>
      </c>
      <c r="BM596" t="s">
        <v>9996</v>
      </c>
      <c r="BN596" t="s">
        <v>74</v>
      </c>
      <c r="BO596" t="s">
        <v>74</v>
      </c>
      <c r="BP596" t="s">
        <v>74</v>
      </c>
      <c r="BQ596" t="s">
        <v>74</v>
      </c>
      <c r="BR596" t="s">
        <v>100</v>
      </c>
      <c r="BS596" t="s">
        <v>9997</v>
      </c>
      <c r="BT596" t="str">
        <f>HYPERLINK("https%3A%2F%2Fwww.webofscience.com%2Fwos%2Fwoscc%2Ffull-record%2FWOS:000252593700017","View Full Record in Web of Science")</f>
        <v>View Full Record in Web of Science</v>
      </c>
    </row>
    <row r="597" spans="1:72" x14ac:dyDescent="0.15">
      <c r="A597" t="s">
        <v>72</v>
      </c>
      <c r="B597" t="s">
        <v>9998</v>
      </c>
      <c r="C597" t="s">
        <v>74</v>
      </c>
      <c r="D597" t="s">
        <v>74</v>
      </c>
      <c r="E597" t="s">
        <v>74</v>
      </c>
      <c r="F597" t="s">
        <v>9999</v>
      </c>
      <c r="G597" t="s">
        <v>74</v>
      </c>
      <c r="H597" t="s">
        <v>74</v>
      </c>
      <c r="I597" t="s">
        <v>10000</v>
      </c>
      <c r="J597" t="s">
        <v>10001</v>
      </c>
      <c r="K597" t="s">
        <v>74</v>
      </c>
      <c r="L597" t="s">
        <v>74</v>
      </c>
      <c r="M597" t="s">
        <v>78</v>
      </c>
      <c r="N597" t="s">
        <v>106</v>
      </c>
      <c r="O597" t="s">
        <v>74</v>
      </c>
      <c r="P597" t="s">
        <v>74</v>
      </c>
      <c r="Q597" t="s">
        <v>74</v>
      </c>
      <c r="R597" t="s">
        <v>74</v>
      </c>
      <c r="S597" t="s">
        <v>74</v>
      </c>
      <c r="T597" t="s">
        <v>10002</v>
      </c>
      <c r="U597" t="s">
        <v>10003</v>
      </c>
      <c r="V597" t="s">
        <v>10004</v>
      </c>
      <c r="W597" t="s">
        <v>10005</v>
      </c>
      <c r="X597" t="s">
        <v>10006</v>
      </c>
      <c r="Y597" t="s">
        <v>10007</v>
      </c>
      <c r="Z597" t="s">
        <v>10008</v>
      </c>
      <c r="AA597" t="s">
        <v>74</v>
      </c>
      <c r="AB597" t="s">
        <v>74</v>
      </c>
      <c r="AC597" t="s">
        <v>74</v>
      </c>
      <c r="AD597" t="s">
        <v>74</v>
      </c>
      <c r="AE597" t="s">
        <v>74</v>
      </c>
      <c r="AF597" t="s">
        <v>74</v>
      </c>
      <c r="AG597">
        <v>225</v>
      </c>
      <c r="AH597">
        <v>285</v>
      </c>
      <c r="AI597">
        <v>329</v>
      </c>
      <c r="AJ597">
        <v>3</v>
      </c>
      <c r="AK597">
        <v>85</v>
      </c>
      <c r="AL597" t="s">
        <v>10009</v>
      </c>
      <c r="AM597" t="s">
        <v>1532</v>
      </c>
      <c r="AN597" t="s">
        <v>10010</v>
      </c>
      <c r="AO597" t="s">
        <v>10011</v>
      </c>
      <c r="AP597" t="s">
        <v>10012</v>
      </c>
      <c r="AQ597" t="s">
        <v>74</v>
      </c>
      <c r="AR597" t="s">
        <v>10001</v>
      </c>
      <c r="AS597" t="s">
        <v>10013</v>
      </c>
      <c r="AT597" t="s">
        <v>10014</v>
      </c>
      <c r="AU597">
        <v>2007</v>
      </c>
      <c r="AV597">
        <v>192</v>
      </c>
      <c r="AW597">
        <v>1</v>
      </c>
      <c r="AX597" t="s">
        <v>74</v>
      </c>
      <c r="AY597" t="s">
        <v>74</v>
      </c>
      <c r="AZ597" t="s">
        <v>74</v>
      </c>
      <c r="BA597" t="s">
        <v>74</v>
      </c>
      <c r="BB597">
        <v>187</v>
      </c>
      <c r="BC597">
        <v>222</v>
      </c>
      <c r="BD597" t="s">
        <v>74</v>
      </c>
      <c r="BE597" t="s">
        <v>10015</v>
      </c>
      <c r="BF597" t="str">
        <f>HYPERLINK("http://dx.doi.org/10.1016/j.icarus.2007.06.018","http://dx.doi.org/10.1016/j.icarus.2007.06.018")</f>
        <v>http://dx.doi.org/10.1016/j.icarus.2007.06.018</v>
      </c>
      <c r="BG597" t="s">
        <v>74</v>
      </c>
      <c r="BH597" t="s">
        <v>74</v>
      </c>
      <c r="BI597">
        <v>36</v>
      </c>
      <c r="BJ597" t="s">
        <v>351</v>
      </c>
      <c r="BK597" t="s">
        <v>97</v>
      </c>
      <c r="BL597" t="s">
        <v>351</v>
      </c>
      <c r="BM597" t="s">
        <v>10016</v>
      </c>
      <c r="BN597" t="s">
        <v>74</v>
      </c>
      <c r="BO597" t="s">
        <v>74</v>
      </c>
      <c r="BP597" t="s">
        <v>74</v>
      </c>
      <c r="BQ597" t="s">
        <v>74</v>
      </c>
      <c r="BR597" t="s">
        <v>100</v>
      </c>
      <c r="BS597" t="s">
        <v>10017</v>
      </c>
      <c r="BT597" t="str">
        <f>HYPERLINK("https%3A%2F%2Fwww.webofscience.com%2Fwos%2Fwoscc%2Ffull-record%2FWOS:000251652600012","View Full Record in Web of Science")</f>
        <v>View Full Record in Web of Science</v>
      </c>
    </row>
    <row r="598" spans="1:72" x14ac:dyDescent="0.15">
      <c r="A598" t="s">
        <v>72</v>
      </c>
      <c r="B598" t="s">
        <v>10018</v>
      </c>
      <c r="C598" t="s">
        <v>74</v>
      </c>
      <c r="D598" t="s">
        <v>74</v>
      </c>
      <c r="E598" t="s">
        <v>74</v>
      </c>
      <c r="F598" t="s">
        <v>10019</v>
      </c>
      <c r="G598" t="s">
        <v>74</v>
      </c>
      <c r="H598" t="s">
        <v>74</v>
      </c>
      <c r="I598" t="s">
        <v>10020</v>
      </c>
      <c r="J598" t="s">
        <v>10021</v>
      </c>
      <c r="K598" t="s">
        <v>74</v>
      </c>
      <c r="L598" t="s">
        <v>74</v>
      </c>
      <c r="M598" t="s">
        <v>78</v>
      </c>
      <c r="N598" t="s">
        <v>79</v>
      </c>
      <c r="O598" t="s">
        <v>74</v>
      </c>
      <c r="P598" t="s">
        <v>74</v>
      </c>
      <c r="Q598" t="s">
        <v>74</v>
      </c>
      <c r="R598" t="s">
        <v>74</v>
      </c>
      <c r="S598" t="s">
        <v>74</v>
      </c>
      <c r="T598" t="s">
        <v>10022</v>
      </c>
      <c r="U598" t="s">
        <v>10023</v>
      </c>
      <c r="V598" t="s">
        <v>10024</v>
      </c>
      <c r="W598" t="s">
        <v>10025</v>
      </c>
      <c r="X598" t="s">
        <v>10026</v>
      </c>
      <c r="Y598" t="s">
        <v>10027</v>
      </c>
      <c r="Z598" t="s">
        <v>10028</v>
      </c>
      <c r="AA598" t="s">
        <v>74</v>
      </c>
      <c r="AB598" t="s">
        <v>74</v>
      </c>
      <c r="AC598" t="s">
        <v>6055</v>
      </c>
      <c r="AD598" t="s">
        <v>444</v>
      </c>
      <c r="AE598" t="s">
        <v>74</v>
      </c>
      <c r="AF598" t="s">
        <v>74</v>
      </c>
      <c r="AG598">
        <v>57</v>
      </c>
      <c r="AH598">
        <v>8</v>
      </c>
      <c r="AI598">
        <v>9</v>
      </c>
      <c r="AJ598">
        <v>3</v>
      </c>
      <c r="AK598">
        <v>10</v>
      </c>
      <c r="AL598" t="s">
        <v>2678</v>
      </c>
      <c r="AM598" t="s">
        <v>522</v>
      </c>
      <c r="AN598" t="s">
        <v>4192</v>
      </c>
      <c r="AO598" t="s">
        <v>10029</v>
      </c>
      <c r="AP598" t="s">
        <v>10030</v>
      </c>
      <c r="AQ598" t="s">
        <v>74</v>
      </c>
      <c r="AR598" t="s">
        <v>10031</v>
      </c>
      <c r="AS598" t="s">
        <v>10032</v>
      </c>
      <c r="AT598" t="s">
        <v>9266</v>
      </c>
      <c r="AU598">
        <v>2007</v>
      </c>
      <c r="AV598">
        <v>64</v>
      </c>
      <c r="AW598">
        <v>9</v>
      </c>
      <c r="AX598" t="s">
        <v>74</v>
      </c>
      <c r="AY598" t="s">
        <v>74</v>
      </c>
      <c r="AZ598" t="s">
        <v>74</v>
      </c>
      <c r="BA598" t="s">
        <v>74</v>
      </c>
      <c r="BB598">
        <v>1617</v>
      </c>
      <c r="BC598">
        <v>1626</v>
      </c>
      <c r="BD598" t="s">
        <v>74</v>
      </c>
      <c r="BE598" t="s">
        <v>10033</v>
      </c>
      <c r="BF598" t="str">
        <f>HYPERLINK("http://dx.doi.org/10.1093/icesjms/fsm138","http://dx.doi.org/10.1093/icesjms/fsm138")</f>
        <v>http://dx.doi.org/10.1093/icesjms/fsm138</v>
      </c>
      <c r="BG598" t="s">
        <v>74</v>
      </c>
      <c r="BH598" t="s">
        <v>74</v>
      </c>
      <c r="BI598">
        <v>10</v>
      </c>
      <c r="BJ598" t="s">
        <v>5883</v>
      </c>
      <c r="BK598" t="s">
        <v>97</v>
      </c>
      <c r="BL598" t="s">
        <v>5883</v>
      </c>
      <c r="BM598" t="s">
        <v>10034</v>
      </c>
      <c r="BN598" t="s">
        <v>74</v>
      </c>
      <c r="BO598" t="s">
        <v>179</v>
      </c>
      <c r="BP598" t="s">
        <v>74</v>
      </c>
      <c r="BQ598" t="s">
        <v>74</v>
      </c>
      <c r="BR598" t="s">
        <v>100</v>
      </c>
      <c r="BS598" t="s">
        <v>10035</v>
      </c>
      <c r="BT598" t="str">
        <f>HYPERLINK("https%3A%2F%2Fwww.webofscience.com%2Fwos%2Fwoscc%2Ffull-record%2FWOS:000252019300001","View Full Record in Web of Science")</f>
        <v>View Full Record in Web of Science</v>
      </c>
    </row>
    <row r="599" spans="1:72" x14ac:dyDescent="0.15">
      <c r="A599" t="s">
        <v>72</v>
      </c>
      <c r="B599" t="s">
        <v>10036</v>
      </c>
      <c r="C599" t="s">
        <v>74</v>
      </c>
      <c r="D599" t="s">
        <v>74</v>
      </c>
      <c r="E599" t="s">
        <v>74</v>
      </c>
      <c r="F599" t="s">
        <v>10037</v>
      </c>
      <c r="G599" t="s">
        <v>74</v>
      </c>
      <c r="H599" t="s">
        <v>74</v>
      </c>
      <c r="I599" t="s">
        <v>10038</v>
      </c>
      <c r="J599" t="s">
        <v>10039</v>
      </c>
      <c r="K599" t="s">
        <v>74</v>
      </c>
      <c r="L599" t="s">
        <v>74</v>
      </c>
      <c r="M599" t="s">
        <v>78</v>
      </c>
      <c r="N599" t="s">
        <v>106</v>
      </c>
      <c r="O599" t="s">
        <v>74</v>
      </c>
      <c r="P599" t="s">
        <v>74</v>
      </c>
      <c r="Q599" t="s">
        <v>74</v>
      </c>
      <c r="R599" t="s">
        <v>74</v>
      </c>
      <c r="S599" t="s">
        <v>74</v>
      </c>
      <c r="T599" t="s">
        <v>10040</v>
      </c>
      <c r="U599" t="s">
        <v>10041</v>
      </c>
      <c r="V599" t="s">
        <v>10042</v>
      </c>
      <c r="W599" t="s">
        <v>10043</v>
      </c>
      <c r="X599" t="s">
        <v>10044</v>
      </c>
      <c r="Y599" t="s">
        <v>10045</v>
      </c>
      <c r="Z599" t="s">
        <v>10046</v>
      </c>
      <c r="AA599" t="s">
        <v>74</v>
      </c>
      <c r="AB599" t="s">
        <v>74</v>
      </c>
      <c r="AC599" t="s">
        <v>74</v>
      </c>
      <c r="AD599" t="s">
        <v>74</v>
      </c>
      <c r="AE599" t="s">
        <v>74</v>
      </c>
      <c r="AF599" t="s">
        <v>74</v>
      </c>
      <c r="AG599">
        <v>158</v>
      </c>
      <c r="AH599">
        <v>8</v>
      </c>
      <c r="AI599">
        <v>11</v>
      </c>
      <c r="AJ599">
        <v>0</v>
      </c>
      <c r="AK599">
        <v>3</v>
      </c>
      <c r="AL599" t="s">
        <v>10047</v>
      </c>
      <c r="AM599" t="s">
        <v>4842</v>
      </c>
      <c r="AN599" t="s">
        <v>10048</v>
      </c>
      <c r="AO599" t="s">
        <v>10049</v>
      </c>
      <c r="AP599" t="s">
        <v>74</v>
      </c>
      <c r="AQ599" t="s">
        <v>74</v>
      </c>
      <c r="AR599" t="s">
        <v>10050</v>
      </c>
      <c r="AS599" t="s">
        <v>10051</v>
      </c>
      <c r="AT599" t="s">
        <v>9266</v>
      </c>
      <c r="AU599">
        <v>2007</v>
      </c>
      <c r="AV599">
        <v>36</v>
      </c>
      <c r="AW599">
        <v>4</v>
      </c>
      <c r="AX599" t="s">
        <v>74</v>
      </c>
      <c r="AY599" t="s">
        <v>74</v>
      </c>
      <c r="AZ599" t="s">
        <v>74</v>
      </c>
      <c r="BA599" t="s">
        <v>74</v>
      </c>
      <c r="BB599">
        <v>272</v>
      </c>
      <c r="BC599">
        <v>287</v>
      </c>
      <c r="BD599" t="s">
        <v>74</v>
      </c>
      <c r="BE599" t="s">
        <v>74</v>
      </c>
      <c r="BF599" t="s">
        <v>74</v>
      </c>
      <c r="BG599" t="s">
        <v>74</v>
      </c>
      <c r="BH599" t="s">
        <v>74</v>
      </c>
      <c r="BI599">
        <v>16</v>
      </c>
      <c r="BJ599" t="s">
        <v>630</v>
      </c>
      <c r="BK599" t="s">
        <v>97</v>
      </c>
      <c r="BL599" t="s">
        <v>630</v>
      </c>
      <c r="BM599" t="s">
        <v>10052</v>
      </c>
      <c r="BN599" t="s">
        <v>74</v>
      </c>
      <c r="BO599" t="s">
        <v>74</v>
      </c>
      <c r="BP599" t="s">
        <v>74</v>
      </c>
      <c r="BQ599" t="s">
        <v>74</v>
      </c>
      <c r="BR599" t="s">
        <v>100</v>
      </c>
      <c r="BS599" t="s">
        <v>10053</v>
      </c>
      <c r="BT599" t="str">
        <f>HYPERLINK("https%3A%2F%2Fwww.webofscience.com%2Fwos%2Fwoscc%2Ffull-record%2FWOS:000253359500003","View Full Record in Web of Science")</f>
        <v>View Full Record in Web of Science</v>
      </c>
    </row>
    <row r="600" spans="1:72" x14ac:dyDescent="0.15">
      <c r="A600" t="s">
        <v>72</v>
      </c>
      <c r="B600" t="s">
        <v>10054</v>
      </c>
      <c r="C600" t="s">
        <v>74</v>
      </c>
      <c r="D600" t="s">
        <v>74</v>
      </c>
      <c r="E600" t="s">
        <v>74</v>
      </c>
      <c r="F600" t="s">
        <v>10055</v>
      </c>
      <c r="G600" t="s">
        <v>74</v>
      </c>
      <c r="H600" t="s">
        <v>74</v>
      </c>
      <c r="I600" t="s">
        <v>10056</v>
      </c>
      <c r="J600" t="s">
        <v>10039</v>
      </c>
      <c r="K600" t="s">
        <v>74</v>
      </c>
      <c r="L600" t="s">
        <v>74</v>
      </c>
      <c r="M600" t="s">
        <v>78</v>
      </c>
      <c r="N600" t="s">
        <v>79</v>
      </c>
      <c r="O600" t="s">
        <v>74</v>
      </c>
      <c r="P600" t="s">
        <v>74</v>
      </c>
      <c r="Q600" t="s">
        <v>74</v>
      </c>
      <c r="R600" t="s">
        <v>74</v>
      </c>
      <c r="S600" t="s">
        <v>74</v>
      </c>
      <c r="T600" t="s">
        <v>10057</v>
      </c>
      <c r="U600" t="s">
        <v>10058</v>
      </c>
      <c r="V600" t="s">
        <v>10059</v>
      </c>
      <c r="W600" t="s">
        <v>10060</v>
      </c>
      <c r="X600" t="s">
        <v>10061</v>
      </c>
      <c r="Y600" t="s">
        <v>10062</v>
      </c>
      <c r="Z600" t="s">
        <v>10063</v>
      </c>
      <c r="AA600" t="s">
        <v>10064</v>
      </c>
      <c r="AB600" t="s">
        <v>10065</v>
      </c>
      <c r="AC600" t="s">
        <v>74</v>
      </c>
      <c r="AD600" t="s">
        <v>74</v>
      </c>
      <c r="AE600" t="s">
        <v>74</v>
      </c>
      <c r="AF600" t="s">
        <v>74</v>
      </c>
      <c r="AG600">
        <v>67</v>
      </c>
      <c r="AH600">
        <v>9</v>
      </c>
      <c r="AI600">
        <v>10</v>
      </c>
      <c r="AJ600">
        <v>0</v>
      </c>
      <c r="AK600">
        <v>8</v>
      </c>
      <c r="AL600" t="s">
        <v>4841</v>
      </c>
      <c r="AM600" t="s">
        <v>4842</v>
      </c>
      <c r="AN600" t="s">
        <v>4843</v>
      </c>
      <c r="AO600" t="s">
        <v>10049</v>
      </c>
      <c r="AP600" t="s">
        <v>10066</v>
      </c>
      <c r="AQ600" t="s">
        <v>74</v>
      </c>
      <c r="AR600" t="s">
        <v>10050</v>
      </c>
      <c r="AS600" t="s">
        <v>10051</v>
      </c>
      <c r="AT600" t="s">
        <v>9266</v>
      </c>
      <c r="AU600">
        <v>2007</v>
      </c>
      <c r="AV600">
        <v>36</v>
      </c>
      <c r="AW600">
        <v>4</v>
      </c>
      <c r="AX600" t="s">
        <v>74</v>
      </c>
      <c r="AY600" t="s">
        <v>74</v>
      </c>
      <c r="AZ600" t="s">
        <v>74</v>
      </c>
      <c r="BA600" t="s">
        <v>74</v>
      </c>
      <c r="BB600">
        <v>342</v>
      </c>
      <c r="BC600">
        <v>350</v>
      </c>
      <c r="BD600" t="s">
        <v>74</v>
      </c>
      <c r="BE600" t="s">
        <v>74</v>
      </c>
      <c r="BF600" t="s">
        <v>74</v>
      </c>
      <c r="BG600" t="s">
        <v>74</v>
      </c>
      <c r="BH600" t="s">
        <v>74</v>
      </c>
      <c r="BI600">
        <v>9</v>
      </c>
      <c r="BJ600" t="s">
        <v>630</v>
      </c>
      <c r="BK600" t="s">
        <v>97</v>
      </c>
      <c r="BL600" t="s">
        <v>630</v>
      </c>
      <c r="BM600" t="s">
        <v>10052</v>
      </c>
      <c r="BN600" t="s">
        <v>74</v>
      </c>
      <c r="BO600" t="s">
        <v>74</v>
      </c>
      <c r="BP600" t="s">
        <v>74</v>
      </c>
      <c r="BQ600" t="s">
        <v>74</v>
      </c>
      <c r="BR600" t="s">
        <v>100</v>
      </c>
      <c r="BS600" t="s">
        <v>10067</v>
      </c>
      <c r="BT600" t="str">
        <f>HYPERLINK("https%3A%2F%2Fwww.webofscience.com%2Fwos%2Fwoscc%2Ffull-record%2FWOS:000253359500008","View Full Record in Web of Science")</f>
        <v>View Full Record in Web of Science</v>
      </c>
    </row>
    <row r="601" spans="1:72" x14ac:dyDescent="0.15">
      <c r="A601" t="s">
        <v>72</v>
      </c>
      <c r="B601" t="s">
        <v>10068</v>
      </c>
      <c r="C601" t="s">
        <v>74</v>
      </c>
      <c r="D601" t="s">
        <v>74</v>
      </c>
      <c r="E601" t="s">
        <v>74</v>
      </c>
      <c r="F601" t="s">
        <v>10069</v>
      </c>
      <c r="G601" t="s">
        <v>74</v>
      </c>
      <c r="H601" t="s">
        <v>74</v>
      </c>
      <c r="I601" t="s">
        <v>10070</v>
      </c>
      <c r="J601" t="s">
        <v>10039</v>
      </c>
      <c r="K601" t="s">
        <v>74</v>
      </c>
      <c r="L601" t="s">
        <v>74</v>
      </c>
      <c r="M601" t="s">
        <v>78</v>
      </c>
      <c r="N601" t="s">
        <v>79</v>
      </c>
      <c r="O601" t="s">
        <v>74</v>
      </c>
      <c r="P601" t="s">
        <v>74</v>
      </c>
      <c r="Q601" t="s">
        <v>74</v>
      </c>
      <c r="R601" t="s">
        <v>74</v>
      </c>
      <c r="S601" t="s">
        <v>74</v>
      </c>
      <c r="T601" t="s">
        <v>10071</v>
      </c>
      <c r="U601" t="s">
        <v>10072</v>
      </c>
      <c r="V601" t="s">
        <v>10073</v>
      </c>
      <c r="W601" t="s">
        <v>10074</v>
      </c>
      <c r="X601" t="s">
        <v>10075</v>
      </c>
      <c r="Y601" t="s">
        <v>10076</v>
      </c>
      <c r="Z601" t="s">
        <v>10077</v>
      </c>
      <c r="AA601" t="s">
        <v>74</v>
      </c>
      <c r="AB601" t="s">
        <v>74</v>
      </c>
      <c r="AC601" t="s">
        <v>74</v>
      </c>
      <c r="AD601" t="s">
        <v>74</v>
      </c>
      <c r="AE601" t="s">
        <v>74</v>
      </c>
      <c r="AF601" t="s">
        <v>74</v>
      </c>
      <c r="AG601">
        <v>50</v>
      </c>
      <c r="AH601">
        <v>1</v>
      </c>
      <c r="AI601">
        <v>1</v>
      </c>
      <c r="AJ601">
        <v>0</v>
      </c>
      <c r="AK601">
        <v>7</v>
      </c>
      <c r="AL601" t="s">
        <v>10047</v>
      </c>
      <c r="AM601" t="s">
        <v>4842</v>
      </c>
      <c r="AN601" t="s">
        <v>10048</v>
      </c>
      <c r="AO601" t="s">
        <v>10049</v>
      </c>
      <c r="AP601" t="s">
        <v>74</v>
      </c>
      <c r="AQ601" t="s">
        <v>74</v>
      </c>
      <c r="AR601" t="s">
        <v>10050</v>
      </c>
      <c r="AS601" t="s">
        <v>10051</v>
      </c>
      <c r="AT601" t="s">
        <v>9266</v>
      </c>
      <c r="AU601">
        <v>2007</v>
      </c>
      <c r="AV601">
        <v>36</v>
      </c>
      <c r="AW601">
        <v>4</v>
      </c>
      <c r="AX601" t="s">
        <v>74</v>
      </c>
      <c r="AY601" t="s">
        <v>74</v>
      </c>
      <c r="AZ601" t="s">
        <v>74</v>
      </c>
      <c r="BA601" t="s">
        <v>74</v>
      </c>
      <c r="BB601">
        <v>361</v>
      </c>
      <c r="BC601">
        <v>368</v>
      </c>
      <c r="BD601" t="s">
        <v>74</v>
      </c>
      <c r="BE601" t="s">
        <v>74</v>
      </c>
      <c r="BF601" t="s">
        <v>74</v>
      </c>
      <c r="BG601" t="s">
        <v>74</v>
      </c>
      <c r="BH601" t="s">
        <v>74</v>
      </c>
      <c r="BI601">
        <v>8</v>
      </c>
      <c r="BJ601" t="s">
        <v>630</v>
      </c>
      <c r="BK601" t="s">
        <v>97</v>
      </c>
      <c r="BL601" t="s">
        <v>630</v>
      </c>
      <c r="BM601" t="s">
        <v>10052</v>
      </c>
      <c r="BN601" t="s">
        <v>74</v>
      </c>
      <c r="BO601" t="s">
        <v>74</v>
      </c>
      <c r="BP601" t="s">
        <v>74</v>
      </c>
      <c r="BQ601" t="s">
        <v>74</v>
      </c>
      <c r="BR601" t="s">
        <v>100</v>
      </c>
      <c r="BS601" t="s">
        <v>10078</v>
      </c>
      <c r="BT601" t="str">
        <f>HYPERLINK("https%3A%2F%2Fwww.webofscience.com%2Fwos%2Fwoscc%2Ffull-record%2FWOS:000253359500011","View Full Record in Web of Science")</f>
        <v>View Full Record in Web of Science</v>
      </c>
    </row>
    <row r="602" spans="1:72" x14ac:dyDescent="0.15">
      <c r="A602" t="s">
        <v>72</v>
      </c>
      <c r="B602" t="s">
        <v>10079</v>
      </c>
      <c r="C602" t="s">
        <v>74</v>
      </c>
      <c r="D602" t="s">
        <v>74</v>
      </c>
      <c r="E602" t="s">
        <v>74</v>
      </c>
      <c r="F602" t="s">
        <v>10080</v>
      </c>
      <c r="G602" t="s">
        <v>74</v>
      </c>
      <c r="H602" t="s">
        <v>74</v>
      </c>
      <c r="I602" t="s">
        <v>10081</v>
      </c>
      <c r="J602" t="s">
        <v>10082</v>
      </c>
      <c r="K602" t="s">
        <v>74</v>
      </c>
      <c r="L602" t="s">
        <v>74</v>
      </c>
      <c r="M602" t="s">
        <v>78</v>
      </c>
      <c r="N602" t="s">
        <v>79</v>
      </c>
      <c r="O602" t="s">
        <v>74</v>
      </c>
      <c r="P602" t="s">
        <v>74</v>
      </c>
      <c r="Q602" t="s">
        <v>74</v>
      </c>
      <c r="R602" t="s">
        <v>74</v>
      </c>
      <c r="S602" t="s">
        <v>74</v>
      </c>
      <c r="T602" t="s">
        <v>74</v>
      </c>
      <c r="U602" t="s">
        <v>10083</v>
      </c>
      <c r="V602" t="s">
        <v>10084</v>
      </c>
      <c r="W602" t="s">
        <v>10085</v>
      </c>
      <c r="X602" t="s">
        <v>10086</v>
      </c>
      <c r="Y602" t="s">
        <v>10087</v>
      </c>
      <c r="Z602" t="s">
        <v>10088</v>
      </c>
      <c r="AA602" t="s">
        <v>74</v>
      </c>
      <c r="AB602" t="s">
        <v>74</v>
      </c>
      <c r="AC602" t="s">
        <v>74</v>
      </c>
      <c r="AD602" t="s">
        <v>74</v>
      </c>
      <c r="AE602" t="s">
        <v>74</v>
      </c>
      <c r="AF602" t="s">
        <v>74</v>
      </c>
      <c r="AG602">
        <v>83</v>
      </c>
      <c r="AH602">
        <v>48</v>
      </c>
      <c r="AI602">
        <v>54</v>
      </c>
      <c r="AJ602">
        <v>0</v>
      </c>
      <c r="AK602">
        <v>21</v>
      </c>
      <c r="AL602" t="s">
        <v>10089</v>
      </c>
      <c r="AM602" t="s">
        <v>10090</v>
      </c>
      <c r="AN602" t="s">
        <v>10091</v>
      </c>
      <c r="AO602" t="s">
        <v>10092</v>
      </c>
      <c r="AP602" t="s">
        <v>74</v>
      </c>
      <c r="AQ602" t="s">
        <v>74</v>
      </c>
      <c r="AR602" t="s">
        <v>10093</v>
      </c>
      <c r="AS602" t="s">
        <v>10094</v>
      </c>
      <c r="AT602" t="s">
        <v>9266</v>
      </c>
      <c r="AU602">
        <v>2007</v>
      </c>
      <c r="AV602">
        <v>47</v>
      </c>
      <c r="AW602">
        <v>6</v>
      </c>
      <c r="AX602" t="s">
        <v>74</v>
      </c>
      <c r="AY602" t="s">
        <v>74</v>
      </c>
      <c r="AZ602" t="s">
        <v>74</v>
      </c>
      <c r="BA602" t="s">
        <v>74</v>
      </c>
      <c r="BB602">
        <v>880</v>
      </c>
      <c r="BC602">
        <v>891</v>
      </c>
      <c r="BD602" t="s">
        <v>74</v>
      </c>
      <c r="BE602" t="s">
        <v>10095</v>
      </c>
      <c r="BF602" t="str">
        <f>HYPERLINK("http://dx.doi.org/10.1093/icb/icm089","http://dx.doi.org/10.1093/icb/icm089")</f>
        <v>http://dx.doi.org/10.1093/icb/icm089</v>
      </c>
      <c r="BG602" t="s">
        <v>74</v>
      </c>
      <c r="BH602" t="s">
        <v>74</v>
      </c>
      <c r="BI602">
        <v>12</v>
      </c>
      <c r="BJ602" t="s">
        <v>4825</v>
      </c>
      <c r="BK602" t="s">
        <v>97</v>
      </c>
      <c r="BL602" t="s">
        <v>4825</v>
      </c>
      <c r="BM602" t="s">
        <v>10096</v>
      </c>
      <c r="BN602">
        <v>21669767</v>
      </c>
      <c r="BO602" t="s">
        <v>179</v>
      </c>
      <c r="BP602" t="s">
        <v>74</v>
      </c>
      <c r="BQ602" t="s">
        <v>74</v>
      </c>
      <c r="BR602" t="s">
        <v>100</v>
      </c>
      <c r="BS602" t="s">
        <v>10097</v>
      </c>
      <c r="BT602" t="str">
        <f>HYPERLINK("https%3A%2F%2Fwww.webofscience.com%2Fwos%2Fwoscc%2Ffull-record%2FWOS:000251578400009","View Full Record in Web of Science")</f>
        <v>View Full Record in Web of Science</v>
      </c>
    </row>
    <row r="603" spans="1:72" x14ac:dyDescent="0.15">
      <c r="A603" t="s">
        <v>72</v>
      </c>
      <c r="B603" t="s">
        <v>10098</v>
      </c>
      <c r="C603" t="s">
        <v>74</v>
      </c>
      <c r="D603" t="s">
        <v>74</v>
      </c>
      <c r="E603" t="s">
        <v>74</v>
      </c>
      <c r="F603" t="s">
        <v>10099</v>
      </c>
      <c r="G603" t="s">
        <v>74</v>
      </c>
      <c r="H603" t="s">
        <v>74</v>
      </c>
      <c r="I603" t="s">
        <v>10100</v>
      </c>
      <c r="J603" t="s">
        <v>10101</v>
      </c>
      <c r="K603" t="s">
        <v>74</v>
      </c>
      <c r="L603" t="s">
        <v>74</v>
      </c>
      <c r="M603" t="s">
        <v>78</v>
      </c>
      <c r="N603" t="s">
        <v>79</v>
      </c>
      <c r="O603" t="s">
        <v>74</v>
      </c>
      <c r="P603" t="s">
        <v>74</v>
      </c>
      <c r="Q603" t="s">
        <v>74</v>
      </c>
      <c r="R603" t="s">
        <v>74</v>
      </c>
      <c r="S603" t="s">
        <v>74</v>
      </c>
      <c r="T603" t="s">
        <v>10102</v>
      </c>
      <c r="U603" t="s">
        <v>10103</v>
      </c>
      <c r="V603" t="s">
        <v>10104</v>
      </c>
      <c r="W603" t="s">
        <v>10105</v>
      </c>
      <c r="X603" t="s">
        <v>10106</v>
      </c>
      <c r="Y603" t="s">
        <v>10107</v>
      </c>
      <c r="Z603" t="s">
        <v>10108</v>
      </c>
      <c r="AA603" t="s">
        <v>10109</v>
      </c>
      <c r="AB603" t="s">
        <v>10110</v>
      </c>
      <c r="AC603" t="s">
        <v>74</v>
      </c>
      <c r="AD603" t="s">
        <v>74</v>
      </c>
      <c r="AE603" t="s">
        <v>74</v>
      </c>
      <c r="AF603" t="s">
        <v>74</v>
      </c>
      <c r="AG603">
        <v>52</v>
      </c>
      <c r="AH603">
        <v>7</v>
      </c>
      <c r="AI603">
        <v>7</v>
      </c>
      <c r="AJ603">
        <v>0</v>
      </c>
      <c r="AK603">
        <v>3</v>
      </c>
      <c r="AL603" t="s">
        <v>1331</v>
      </c>
      <c r="AM603" t="s">
        <v>1421</v>
      </c>
      <c r="AN603" t="s">
        <v>2160</v>
      </c>
      <c r="AO603" t="s">
        <v>10111</v>
      </c>
      <c r="AP603" t="s">
        <v>10112</v>
      </c>
      <c r="AQ603" t="s">
        <v>74</v>
      </c>
      <c r="AR603" t="s">
        <v>10113</v>
      </c>
      <c r="AS603" t="s">
        <v>10114</v>
      </c>
      <c r="AT603" t="s">
        <v>9266</v>
      </c>
      <c r="AU603">
        <v>2007</v>
      </c>
      <c r="AV603">
        <v>66</v>
      </c>
      <c r="AW603">
        <v>5</v>
      </c>
      <c r="AX603" t="s">
        <v>74</v>
      </c>
      <c r="AY603" t="s">
        <v>74</v>
      </c>
      <c r="AZ603" t="s">
        <v>74</v>
      </c>
      <c r="BA603" t="s">
        <v>74</v>
      </c>
      <c r="BB603">
        <v>401</v>
      </c>
      <c r="BC603">
        <v>417</v>
      </c>
      <c r="BD603" t="s">
        <v>74</v>
      </c>
      <c r="BE603" t="s">
        <v>74</v>
      </c>
      <c r="BF603" t="s">
        <v>74</v>
      </c>
      <c r="BG603" t="s">
        <v>74</v>
      </c>
      <c r="BH603" t="s">
        <v>74</v>
      </c>
      <c r="BI603">
        <v>17</v>
      </c>
      <c r="BJ603" t="s">
        <v>9852</v>
      </c>
      <c r="BK603" t="s">
        <v>669</v>
      </c>
      <c r="BL603" t="s">
        <v>9852</v>
      </c>
      <c r="BM603" t="s">
        <v>10115</v>
      </c>
      <c r="BN603">
        <v>18274206</v>
      </c>
      <c r="BO603" t="s">
        <v>74</v>
      </c>
      <c r="BP603" t="s">
        <v>74</v>
      </c>
      <c r="BQ603" t="s">
        <v>74</v>
      </c>
      <c r="BR603" t="s">
        <v>100</v>
      </c>
      <c r="BS603" t="s">
        <v>10116</v>
      </c>
      <c r="BT603" t="str">
        <f>HYPERLINK("https%3A%2F%2Fwww.webofscience.com%2Fwos%2Fwoscc%2Ffull-record%2FWOS:000252410900005","View Full Record in Web of Science")</f>
        <v>View Full Record in Web of Science</v>
      </c>
    </row>
    <row r="604" spans="1:72" x14ac:dyDescent="0.15">
      <c r="A604" t="s">
        <v>72</v>
      </c>
      <c r="B604" t="s">
        <v>10117</v>
      </c>
      <c r="C604" t="s">
        <v>74</v>
      </c>
      <c r="D604" t="s">
        <v>74</v>
      </c>
      <c r="E604" t="s">
        <v>74</v>
      </c>
      <c r="F604" t="s">
        <v>10118</v>
      </c>
      <c r="G604" t="s">
        <v>74</v>
      </c>
      <c r="H604" t="s">
        <v>74</v>
      </c>
      <c r="I604" t="s">
        <v>10119</v>
      </c>
      <c r="J604" t="s">
        <v>5005</v>
      </c>
      <c r="K604" t="s">
        <v>74</v>
      </c>
      <c r="L604" t="s">
        <v>74</v>
      </c>
      <c r="M604" t="s">
        <v>78</v>
      </c>
      <c r="N604" t="s">
        <v>79</v>
      </c>
      <c r="O604" t="s">
        <v>74</v>
      </c>
      <c r="P604" t="s">
        <v>74</v>
      </c>
      <c r="Q604" t="s">
        <v>74</v>
      </c>
      <c r="R604" t="s">
        <v>74</v>
      </c>
      <c r="S604" t="s">
        <v>74</v>
      </c>
      <c r="T604" t="s">
        <v>74</v>
      </c>
      <c r="U604" t="s">
        <v>10120</v>
      </c>
      <c r="V604" t="s">
        <v>10121</v>
      </c>
      <c r="W604" t="s">
        <v>10122</v>
      </c>
      <c r="X604" t="s">
        <v>10123</v>
      </c>
      <c r="Y604" t="s">
        <v>10124</v>
      </c>
      <c r="Z604" t="s">
        <v>10125</v>
      </c>
      <c r="AA604" t="s">
        <v>10126</v>
      </c>
      <c r="AB604" t="s">
        <v>10127</v>
      </c>
      <c r="AC604" t="s">
        <v>74</v>
      </c>
      <c r="AD604" t="s">
        <v>74</v>
      </c>
      <c r="AE604" t="s">
        <v>74</v>
      </c>
      <c r="AF604" t="s">
        <v>74</v>
      </c>
      <c r="AG604">
        <v>19</v>
      </c>
      <c r="AH604">
        <v>15</v>
      </c>
      <c r="AI604">
        <v>15</v>
      </c>
      <c r="AJ604">
        <v>0</v>
      </c>
      <c r="AK604">
        <v>5</v>
      </c>
      <c r="AL604" t="s">
        <v>5014</v>
      </c>
      <c r="AM604" t="s">
        <v>5015</v>
      </c>
      <c r="AN604" t="s">
        <v>5016</v>
      </c>
      <c r="AO604" t="s">
        <v>5017</v>
      </c>
      <c r="AP604" t="s">
        <v>74</v>
      </c>
      <c r="AQ604" t="s">
        <v>74</v>
      </c>
      <c r="AR604" t="s">
        <v>5018</v>
      </c>
      <c r="AS604" t="s">
        <v>5019</v>
      </c>
      <c r="AT604" t="s">
        <v>9266</v>
      </c>
      <c r="AU604">
        <v>2007</v>
      </c>
      <c r="AV604">
        <v>57</v>
      </c>
      <c r="AW604" t="s">
        <v>74</v>
      </c>
      <c r="AX604">
        <v>12</v>
      </c>
      <c r="AY604" t="s">
        <v>74</v>
      </c>
      <c r="AZ604" t="s">
        <v>74</v>
      </c>
      <c r="BA604" t="s">
        <v>74</v>
      </c>
      <c r="BB604">
        <v>2917</v>
      </c>
      <c r="BC604">
        <v>2921</v>
      </c>
      <c r="BD604" t="s">
        <v>74</v>
      </c>
      <c r="BE604" t="s">
        <v>10128</v>
      </c>
      <c r="BF604" t="str">
        <f>HYPERLINK("http://dx.doi.org/10.1099/ijs.0.65279-0","http://dx.doi.org/10.1099/ijs.0.65279-0")</f>
        <v>http://dx.doi.org/10.1099/ijs.0.65279-0</v>
      </c>
      <c r="BG604" t="s">
        <v>74</v>
      </c>
      <c r="BH604" t="s">
        <v>74</v>
      </c>
      <c r="BI604">
        <v>5</v>
      </c>
      <c r="BJ604" t="s">
        <v>4198</v>
      </c>
      <c r="BK604" t="s">
        <v>97</v>
      </c>
      <c r="BL604" t="s">
        <v>4198</v>
      </c>
      <c r="BM604" t="s">
        <v>10129</v>
      </c>
      <c r="BN604">
        <v>18048749</v>
      </c>
      <c r="BO604" t="s">
        <v>74</v>
      </c>
      <c r="BP604" t="s">
        <v>74</v>
      </c>
      <c r="BQ604" t="s">
        <v>74</v>
      </c>
      <c r="BR604" t="s">
        <v>100</v>
      </c>
      <c r="BS604" t="s">
        <v>10130</v>
      </c>
      <c r="BT604" t="str">
        <f>HYPERLINK("https%3A%2F%2Fwww.webofscience.com%2Fwos%2Fwoscc%2Ffull-record%2FWOS:000251975800034","View Full Record in Web of Science")</f>
        <v>View Full Record in Web of Science</v>
      </c>
    </row>
    <row r="605" spans="1:72" x14ac:dyDescent="0.15">
      <c r="A605" t="s">
        <v>72</v>
      </c>
      <c r="B605" t="s">
        <v>10131</v>
      </c>
      <c r="C605" t="s">
        <v>74</v>
      </c>
      <c r="D605" t="s">
        <v>74</v>
      </c>
      <c r="E605" t="s">
        <v>74</v>
      </c>
      <c r="F605" t="s">
        <v>10132</v>
      </c>
      <c r="G605" t="s">
        <v>74</v>
      </c>
      <c r="H605" t="s">
        <v>74</v>
      </c>
      <c r="I605" t="s">
        <v>10133</v>
      </c>
      <c r="J605" t="s">
        <v>5005</v>
      </c>
      <c r="K605" t="s">
        <v>74</v>
      </c>
      <c r="L605" t="s">
        <v>74</v>
      </c>
      <c r="M605" t="s">
        <v>78</v>
      </c>
      <c r="N605" t="s">
        <v>79</v>
      </c>
      <c r="O605" t="s">
        <v>74</v>
      </c>
      <c r="P605" t="s">
        <v>74</v>
      </c>
      <c r="Q605" t="s">
        <v>74</v>
      </c>
      <c r="R605" t="s">
        <v>74</v>
      </c>
      <c r="S605" t="s">
        <v>74</v>
      </c>
      <c r="T605" t="s">
        <v>74</v>
      </c>
      <c r="U605" t="s">
        <v>10134</v>
      </c>
      <c r="V605" t="s">
        <v>10135</v>
      </c>
      <c r="W605" t="s">
        <v>10136</v>
      </c>
      <c r="X605" t="s">
        <v>10123</v>
      </c>
      <c r="Y605" t="s">
        <v>10124</v>
      </c>
      <c r="Z605" t="s">
        <v>10125</v>
      </c>
      <c r="AA605" t="s">
        <v>10126</v>
      </c>
      <c r="AB605" t="s">
        <v>10127</v>
      </c>
      <c r="AC605" t="s">
        <v>74</v>
      </c>
      <c r="AD605" t="s">
        <v>74</v>
      </c>
      <c r="AE605" t="s">
        <v>74</v>
      </c>
      <c r="AF605" t="s">
        <v>74</v>
      </c>
      <c r="AG605">
        <v>21</v>
      </c>
      <c r="AH605">
        <v>20</v>
      </c>
      <c r="AI605">
        <v>23</v>
      </c>
      <c r="AJ605">
        <v>0</v>
      </c>
      <c r="AK605">
        <v>9</v>
      </c>
      <c r="AL605" t="s">
        <v>5014</v>
      </c>
      <c r="AM605" t="s">
        <v>5015</v>
      </c>
      <c r="AN605" t="s">
        <v>5016</v>
      </c>
      <c r="AO605" t="s">
        <v>5017</v>
      </c>
      <c r="AP605" t="s">
        <v>74</v>
      </c>
      <c r="AQ605" t="s">
        <v>74</v>
      </c>
      <c r="AR605" t="s">
        <v>5018</v>
      </c>
      <c r="AS605" t="s">
        <v>5019</v>
      </c>
      <c r="AT605" t="s">
        <v>9266</v>
      </c>
      <c r="AU605">
        <v>2007</v>
      </c>
      <c r="AV605">
        <v>57</v>
      </c>
      <c r="AW605" t="s">
        <v>74</v>
      </c>
      <c r="AX605">
        <v>12</v>
      </c>
      <c r="AY605" t="s">
        <v>74</v>
      </c>
      <c r="AZ605" t="s">
        <v>74</v>
      </c>
      <c r="BA605" t="s">
        <v>74</v>
      </c>
      <c r="BB605">
        <v>2922</v>
      </c>
      <c r="BC605">
        <v>2925</v>
      </c>
      <c r="BD605" t="s">
        <v>74</v>
      </c>
      <c r="BE605" t="s">
        <v>10137</v>
      </c>
      <c r="BF605" t="str">
        <f>HYPERLINK("http://dx.doi.org/10.1099/ijs.0.65265-0","http://dx.doi.org/10.1099/ijs.0.65265-0")</f>
        <v>http://dx.doi.org/10.1099/ijs.0.65265-0</v>
      </c>
      <c r="BG605" t="s">
        <v>74</v>
      </c>
      <c r="BH605" t="s">
        <v>74</v>
      </c>
      <c r="BI605">
        <v>4</v>
      </c>
      <c r="BJ605" t="s">
        <v>4198</v>
      </c>
      <c r="BK605" t="s">
        <v>97</v>
      </c>
      <c r="BL605" t="s">
        <v>4198</v>
      </c>
      <c r="BM605" t="s">
        <v>10129</v>
      </c>
      <c r="BN605">
        <v>18048750</v>
      </c>
      <c r="BO605" t="s">
        <v>74</v>
      </c>
      <c r="BP605" t="s">
        <v>74</v>
      </c>
      <c r="BQ605" t="s">
        <v>74</v>
      </c>
      <c r="BR605" t="s">
        <v>100</v>
      </c>
      <c r="BS605" t="s">
        <v>10138</v>
      </c>
      <c r="BT605" t="str">
        <f>HYPERLINK("https%3A%2F%2Fwww.webofscience.com%2Fwos%2Fwoscc%2Ffull-record%2FWOS:000251975800035","View Full Record in Web of Science")</f>
        <v>View Full Record in Web of Science</v>
      </c>
    </row>
    <row r="606" spans="1:72" x14ac:dyDescent="0.15">
      <c r="A606" t="s">
        <v>72</v>
      </c>
      <c r="B606" t="s">
        <v>10139</v>
      </c>
      <c r="C606" t="s">
        <v>74</v>
      </c>
      <c r="D606" t="s">
        <v>74</v>
      </c>
      <c r="E606" t="s">
        <v>74</v>
      </c>
      <c r="F606" t="s">
        <v>10140</v>
      </c>
      <c r="G606" t="s">
        <v>74</v>
      </c>
      <c r="H606" t="s">
        <v>74</v>
      </c>
      <c r="I606" t="s">
        <v>10141</v>
      </c>
      <c r="J606" t="s">
        <v>10142</v>
      </c>
      <c r="K606" t="s">
        <v>74</v>
      </c>
      <c r="L606" t="s">
        <v>74</v>
      </c>
      <c r="M606" t="s">
        <v>78</v>
      </c>
      <c r="N606" t="s">
        <v>79</v>
      </c>
      <c r="O606" t="s">
        <v>74</v>
      </c>
      <c r="P606" t="s">
        <v>74</v>
      </c>
      <c r="Q606" t="s">
        <v>74</v>
      </c>
      <c r="R606" t="s">
        <v>74</v>
      </c>
      <c r="S606" t="s">
        <v>74</v>
      </c>
      <c r="T606" t="s">
        <v>74</v>
      </c>
      <c r="U606" t="s">
        <v>10143</v>
      </c>
      <c r="V606" t="s">
        <v>10144</v>
      </c>
      <c r="W606" t="s">
        <v>10145</v>
      </c>
      <c r="X606" t="s">
        <v>10146</v>
      </c>
      <c r="Y606" t="s">
        <v>10147</v>
      </c>
      <c r="Z606" t="s">
        <v>10148</v>
      </c>
      <c r="AA606" t="s">
        <v>74</v>
      </c>
      <c r="AB606" t="s">
        <v>10149</v>
      </c>
      <c r="AC606" t="s">
        <v>74</v>
      </c>
      <c r="AD606" t="s">
        <v>74</v>
      </c>
      <c r="AE606" t="s">
        <v>74</v>
      </c>
      <c r="AF606" t="s">
        <v>74</v>
      </c>
      <c r="AG606">
        <v>16</v>
      </c>
      <c r="AH606">
        <v>2</v>
      </c>
      <c r="AI606">
        <v>3</v>
      </c>
      <c r="AJ606">
        <v>1</v>
      </c>
      <c r="AK606">
        <v>4</v>
      </c>
      <c r="AL606" t="s">
        <v>9863</v>
      </c>
      <c r="AM606" t="s">
        <v>662</v>
      </c>
      <c r="AN606" t="s">
        <v>9864</v>
      </c>
      <c r="AO606" t="s">
        <v>10150</v>
      </c>
      <c r="AP606" t="s">
        <v>10151</v>
      </c>
      <c r="AQ606" t="s">
        <v>74</v>
      </c>
      <c r="AR606" t="s">
        <v>10152</v>
      </c>
      <c r="AS606" t="s">
        <v>10153</v>
      </c>
      <c r="AT606" t="s">
        <v>9266</v>
      </c>
      <c r="AU606">
        <v>2007</v>
      </c>
      <c r="AV606">
        <v>43</v>
      </c>
      <c r="AW606">
        <v>6</v>
      </c>
      <c r="AX606" t="s">
        <v>74</v>
      </c>
      <c r="AY606" t="s">
        <v>74</v>
      </c>
      <c r="AZ606" t="s">
        <v>74</v>
      </c>
      <c r="BA606" t="s">
        <v>74</v>
      </c>
      <c r="BB606">
        <v>713</v>
      </c>
      <c r="BC606">
        <v>721</v>
      </c>
      <c r="BD606" t="s">
        <v>74</v>
      </c>
      <c r="BE606" t="s">
        <v>10154</v>
      </c>
      <c r="BF606" t="str">
        <f>HYPERLINK("http://dx.doi.org/10.1134/S0001433807060059","http://dx.doi.org/10.1134/S0001433807060059")</f>
        <v>http://dx.doi.org/10.1134/S0001433807060059</v>
      </c>
      <c r="BG606" t="s">
        <v>74</v>
      </c>
      <c r="BH606" t="s">
        <v>74</v>
      </c>
      <c r="BI606">
        <v>9</v>
      </c>
      <c r="BJ606" t="s">
        <v>7004</v>
      </c>
      <c r="BK606" t="s">
        <v>97</v>
      </c>
      <c r="BL606" t="s">
        <v>7004</v>
      </c>
      <c r="BM606" t="s">
        <v>10155</v>
      </c>
      <c r="BN606" t="s">
        <v>74</v>
      </c>
      <c r="BO606" t="s">
        <v>74</v>
      </c>
      <c r="BP606" t="s">
        <v>74</v>
      </c>
      <c r="BQ606" t="s">
        <v>74</v>
      </c>
      <c r="BR606" t="s">
        <v>100</v>
      </c>
      <c r="BS606" t="s">
        <v>10156</v>
      </c>
      <c r="BT606" t="str">
        <f>HYPERLINK("https%3A%2F%2Fwww.webofscience.com%2Fwos%2Fwoscc%2Ffull-record%2FWOS:000251794700005","View Full Record in Web of Science")</f>
        <v>View Full Record in Web of Science</v>
      </c>
    </row>
    <row r="607" spans="1:72" x14ac:dyDescent="0.15">
      <c r="A607" t="s">
        <v>72</v>
      </c>
      <c r="B607" t="s">
        <v>10157</v>
      </c>
      <c r="C607" t="s">
        <v>74</v>
      </c>
      <c r="D607" t="s">
        <v>74</v>
      </c>
      <c r="E607" t="s">
        <v>74</v>
      </c>
      <c r="F607" t="s">
        <v>10158</v>
      </c>
      <c r="G607" t="s">
        <v>74</v>
      </c>
      <c r="H607" t="s">
        <v>74</v>
      </c>
      <c r="I607" t="s">
        <v>10159</v>
      </c>
      <c r="J607" t="s">
        <v>10160</v>
      </c>
      <c r="K607" t="s">
        <v>74</v>
      </c>
      <c r="L607" t="s">
        <v>74</v>
      </c>
      <c r="M607" t="s">
        <v>78</v>
      </c>
      <c r="N607" t="s">
        <v>1602</v>
      </c>
      <c r="O607" t="s">
        <v>10161</v>
      </c>
      <c r="P607" t="s">
        <v>10162</v>
      </c>
      <c r="Q607" t="s">
        <v>10163</v>
      </c>
      <c r="R607" t="s">
        <v>74</v>
      </c>
      <c r="S607" t="s">
        <v>74</v>
      </c>
      <c r="T607" t="s">
        <v>10164</v>
      </c>
      <c r="U607" t="s">
        <v>10165</v>
      </c>
      <c r="V607" t="s">
        <v>10166</v>
      </c>
      <c r="W607" t="s">
        <v>10167</v>
      </c>
      <c r="X607" t="s">
        <v>10168</v>
      </c>
      <c r="Y607" t="s">
        <v>10169</v>
      </c>
      <c r="Z607" t="s">
        <v>10170</v>
      </c>
      <c r="AA607" t="s">
        <v>10171</v>
      </c>
      <c r="AB607" t="s">
        <v>10172</v>
      </c>
      <c r="AC607" t="s">
        <v>74</v>
      </c>
      <c r="AD607" t="s">
        <v>74</v>
      </c>
      <c r="AE607" t="s">
        <v>74</v>
      </c>
      <c r="AF607" t="s">
        <v>74</v>
      </c>
      <c r="AG607">
        <v>35</v>
      </c>
      <c r="AH607">
        <v>23</v>
      </c>
      <c r="AI607">
        <v>28</v>
      </c>
      <c r="AJ607">
        <v>0</v>
      </c>
      <c r="AK607">
        <v>25</v>
      </c>
      <c r="AL607" t="s">
        <v>1265</v>
      </c>
      <c r="AM607" t="s">
        <v>1317</v>
      </c>
      <c r="AN607" t="s">
        <v>2701</v>
      </c>
      <c r="AO607" t="s">
        <v>10173</v>
      </c>
      <c r="AP607" t="s">
        <v>10174</v>
      </c>
      <c r="AQ607" t="s">
        <v>74</v>
      </c>
      <c r="AR607" t="s">
        <v>10175</v>
      </c>
      <c r="AS607" t="s">
        <v>10176</v>
      </c>
      <c r="AT607" t="s">
        <v>9266</v>
      </c>
      <c r="AU607">
        <v>2007</v>
      </c>
      <c r="AV607">
        <v>19</v>
      </c>
      <c r="AW607">
        <v>6</v>
      </c>
      <c r="AX607" t="s">
        <v>74</v>
      </c>
      <c r="AY607" t="s">
        <v>74</v>
      </c>
      <c r="AZ607" t="s">
        <v>74</v>
      </c>
      <c r="BA607" t="s">
        <v>74</v>
      </c>
      <c r="BB607">
        <v>689</v>
      </c>
      <c r="BC607">
        <v>699</v>
      </c>
      <c r="BD607" t="s">
        <v>74</v>
      </c>
      <c r="BE607" t="s">
        <v>10177</v>
      </c>
      <c r="BF607" t="str">
        <f>HYPERLINK("http://dx.doi.org/10.1007/s10811-007-9214-3","http://dx.doi.org/10.1007/s10811-007-9214-3")</f>
        <v>http://dx.doi.org/10.1007/s10811-007-9214-3</v>
      </c>
      <c r="BG607" t="s">
        <v>74</v>
      </c>
      <c r="BH607" t="s">
        <v>74</v>
      </c>
      <c r="BI607">
        <v>11</v>
      </c>
      <c r="BJ607" t="s">
        <v>5940</v>
      </c>
      <c r="BK607" t="s">
        <v>1616</v>
      </c>
      <c r="BL607" t="s">
        <v>5940</v>
      </c>
      <c r="BM607" t="s">
        <v>10178</v>
      </c>
      <c r="BN607" t="s">
        <v>74</v>
      </c>
      <c r="BO607" t="s">
        <v>74</v>
      </c>
      <c r="BP607" t="s">
        <v>74</v>
      </c>
      <c r="BQ607" t="s">
        <v>74</v>
      </c>
      <c r="BR607" t="s">
        <v>100</v>
      </c>
      <c r="BS607" t="s">
        <v>10179</v>
      </c>
      <c r="BT607" t="str">
        <f>HYPERLINK("https%3A%2F%2Fwww.webofscience.com%2Fwos%2Fwoscc%2Ffull-record%2FWOS:000252041900012","View Full Record in Web of Science")</f>
        <v>View Full Record in Web of Science</v>
      </c>
    </row>
    <row r="608" spans="1:72" x14ac:dyDescent="0.15">
      <c r="A608" t="s">
        <v>72</v>
      </c>
      <c r="B608" t="s">
        <v>10180</v>
      </c>
      <c r="C608" t="s">
        <v>74</v>
      </c>
      <c r="D608" t="s">
        <v>74</v>
      </c>
      <c r="E608" t="s">
        <v>74</v>
      </c>
      <c r="F608" t="s">
        <v>10181</v>
      </c>
      <c r="G608" t="s">
        <v>74</v>
      </c>
      <c r="H608" t="s">
        <v>74</v>
      </c>
      <c r="I608" t="s">
        <v>10182</v>
      </c>
      <c r="J608" t="s">
        <v>10183</v>
      </c>
      <c r="K608" t="s">
        <v>74</v>
      </c>
      <c r="L608" t="s">
        <v>74</v>
      </c>
      <c r="M608" t="s">
        <v>78</v>
      </c>
      <c r="N608" t="s">
        <v>79</v>
      </c>
      <c r="O608" t="s">
        <v>74</v>
      </c>
      <c r="P608" t="s">
        <v>74</v>
      </c>
      <c r="Q608" t="s">
        <v>74</v>
      </c>
      <c r="R608" t="s">
        <v>74</v>
      </c>
      <c r="S608" t="s">
        <v>74</v>
      </c>
      <c r="T608" t="s">
        <v>74</v>
      </c>
      <c r="U608" t="s">
        <v>10184</v>
      </c>
      <c r="V608" t="s">
        <v>10185</v>
      </c>
      <c r="W608" t="s">
        <v>10186</v>
      </c>
      <c r="X608" t="s">
        <v>10187</v>
      </c>
      <c r="Y608" t="s">
        <v>10188</v>
      </c>
      <c r="Z608" t="s">
        <v>10189</v>
      </c>
      <c r="AA608" t="s">
        <v>10190</v>
      </c>
      <c r="AB608" t="s">
        <v>74</v>
      </c>
      <c r="AC608" t="s">
        <v>74</v>
      </c>
      <c r="AD608" t="s">
        <v>74</v>
      </c>
      <c r="AE608" t="s">
        <v>74</v>
      </c>
      <c r="AF608" t="s">
        <v>74</v>
      </c>
      <c r="AG608">
        <v>33</v>
      </c>
      <c r="AH608">
        <v>47</v>
      </c>
      <c r="AI608">
        <v>48</v>
      </c>
      <c r="AJ608">
        <v>0</v>
      </c>
      <c r="AK608">
        <v>10</v>
      </c>
      <c r="AL608" t="s">
        <v>583</v>
      </c>
      <c r="AM608" t="s">
        <v>584</v>
      </c>
      <c r="AN608" t="s">
        <v>585</v>
      </c>
      <c r="AO608" t="s">
        <v>10191</v>
      </c>
      <c r="AP608" t="s">
        <v>10192</v>
      </c>
      <c r="AQ608" t="s">
        <v>74</v>
      </c>
      <c r="AR608" t="s">
        <v>10193</v>
      </c>
      <c r="AS608" t="s">
        <v>10194</v>
      </c>
      <c r="AT608" t="s">
        <v>9266</v>
      </c>
      <c r="AU608">
        <v>2007</v>
      </c>
      <c r="AV608">
        <v>24</v>
      </c>
      <c r="AW608">
        <v>12</v>
      </c>
      <c r="AX608" t="s">
        <v>74</v>
      </c>
      <c r="AY608" t="s">
        <v>74</v>
      </c>
      <c r="AZ608" t="s">
        <v>74</v>
      </c>
      <c r="BA608" t="s">
        <v>74</v>
      </c>
      <c r="BB608">
        <v>2048</v>
      </c>
      <c r="BC608">
        <v>2061</v>
      </c>
      <c r="BD608" t="s">
        <v>74</v>
      </c>
      <c r="BE608" t="s">
        <v>10195</v>
      </c>
      <c r="BF608" t="str">
        <f>HYPERLINK("http://dx.doi.org/10.1175/2007JTECHA948.1","http://dx.doi.org/10.1175/2007JTECHA948.1")</f>
        <v>http://dx.doi.org/10.1175/2007JTECHA948.1</v>
      </c>
      <c r="BG608" t="s">
        <v>74</v>
      </c>
      <c r="BH608" t="s">
        <v>74</v>
      </c>
      <c r="BI608">
        <v>14</v>
      </c>
      <c r="BJ608" t="s">
        <v>10196</v>
      </c>
      <c r="BK608" t="s">
        <v>97</v>
      </c>
      <c r="BL608" t="s">
        <v>10197</v>
      </c>
      <c r="BM608" t="s">
        <v>10198</v>
      </c>
      <c r="BN608" t="s">
        <v>74</v>
      </c>
      <c r="BO608" t="s">
        <v>74</v>
      </c>
      <c r="BP608" t="s">
        <v>74</v>
      </c>
      <c r="BQ608" t="s">
        <v>74</v>
      </c>
      <c r="BR608" t="s">
        <v>100</v>
      </c>
      <c r="BS608" t="s">
        <v>10199</v>
      </c>
      <c r="BT608" t="str">
        <f>HYPERLINK("https%3A%2F%2Fwww.webofscience.com%2Fwos%2Fwoscc%2Ffull-record%2FWOS:000252001300005","View Full Record in Web of Science")</f>
        <v>View Full Record in Web of Science</v>
      </c>
    </row>
    <row r="609" spans="1:72" x14ac:dyDescent="0.15">
      <c r="A609" t="s">
        <v>72</v>
      </c>
      <c r="B609" t="s">
        <v>10200</v>
      </c>
      <c r="C609" t="s">
        <v>74</v>
      </c>
      <c r="D609" t="s">
        <v>74</v>
      </c>
      <c r="E609" t="s">
        <v>74</v>
      </c>
      <c r="F609" t="s">
        <v>10201</v>
      </c>
      <c r="G609" t="s">
        <v>74</v>
      </c>
      <c r="H609" t="s">
        <v>74</v>
      </c>
      <c r="I609" t="s">
        <v>10202</v>
      </c>
      <c r="J609" t="s">
        <v>10203</v>
      </c>
      <c r="K609" t="s">
        <v>74</v>
      </c>
      <c r="L609" t="s">
        <v>74</v>
      </c>
      <c r="M609" t="s">
        <v>78</v>
      </c>
      <c r="N609" t="s">
        <v>1602</v>
      </c>
      <c r="O609" t="s">
        <v>10204</v>
      </c>
      <c r="P609" t="s">
        <v>10205</v>
      </c>
      <c r="Q609" t="s">
        <v>10206</v>
      </c>
      <c r="R609" t="s">
        <v>74</v>
      </c>
      <c r="S609" t="s">
        <v>74</v>
      </c>
      <c r="T609" t="s">
        <v>10207</v>
      </c>
      <c r="U609" t="s">
        <v>10208</v>
      </c>
      <c r="V609" t="s">
        <v>10209</v>
      </c>
      <c r="W609" t="s">
        <v>10210</v>
      </c>
      <c r="X609" t="s">
        <v>10211</v>
      </c>
      <c r="Y609" t="s">
        <v>10212</v>
      </c>
      <c r="Z609" t="s">
        <v>10213</v>
      </c>
      <c r="AA609" t="s">
        <v>10214</v>
      </c>
      <c r="AB609" t="s">
        <v>10215</v>
      </c>
      <c r="AC609" t="s">
        <v>74</v>
      </c>
      <c r="AD609" t="s">
        <v>74</v>
      </c>
      <c r="AE609" t="s">
        <v>74</v>
      </c>
      <c r="AF609" t="s">
        <v>74</v>
      </c>
      <c r="AG609">
        <v>51</v>
      </c>
      <c r="AH609">
        <v>28</v>
      </c>
      <c r="AI609">
        <v>30</v>
      </c>
      <c r="AJ609">
        <v>0</v>
      </c>
      <c r="AK609">
        <v>5</v>
      </c>
      <c r="AL609" t="s">
        <v>521</v>
      </c>
      <c r="AM609" t="s">
        <v>522</v>
      </c>
      <c r="AN609" t="s">
        <v>523</v>
      </c>
      <c r="AO609" t="s">
        <v>10216</v>
      </c>
      <c r="AP609" t="s">
        <v>10217</v>
      </c>
      <c r="AQ609" t="s">
        <v>74</v>
      </c>
      <c r="AR609" t="s">
        <v>10218</v>
      </c>
      <c r="AS609" t="s">
        <v>10219</v>
      </c>
      <c r="AT609" t="s">
        <v>9266</v>
      </c>
      <c r="AU609">
        <v>2007</v>
      </c>
      <c r="AV609">
        <v>69</v>
      </c>
      <c r="AW609" t="s">
        <v>10220</v>
      </c>
      <c r="AX609" t="s">
        <v>74</v>
      </c>
      <c r="AY609" t="s">
        <v>74</v>
      </c>
      <c r="AZ609" t="s">
        <v>74</v>
      </c>
      <c r="BA609" t="s">
        <v>74</v>
      </c>
      <c r="BB609">
        <v>2118</v>
      </c>
      <c r="BC609">
        <v>2138</v>
      </c>
      <c r="BD609" t="s">
        <v>74</v>
      </c>
      <c r="BE609" t="s">
        <v>10221</v>
      </c>
      <c r="BF609" t="str">
        <f>HYPERLINK("http://dx.doi.org/10.1016/j.jastp.2007.06.008","http://dx.doi.org/10.1016/j.jastp.2007.06.008")</f>
        <v>http://dx.doi.org/10.1016/j.jastp.2007.06.008</v>
      </c>
      <c r="BG609" t="s">
        <v>74</v>
      </c>
      <c r="BH609" t="s">
        <v>74</v>
      </c>
      <c r="BI609">
        <v>21</v>
      </c>
      <c r="BJ609" t="s">
        <v>10222</v>
      </c>
      <c r="BK609" t="s">
        <v>1616</v>
      </c>
      <c r="BL609" t="s">
        <v>10222</v>
      </c>
      <c r="BM609" t="s">
        <v>10223</v>
      </c>
      <c r="BN609" t="s">
        <v>74</v>
      </c>
      <c r="BO609" t="s">
        <v>74</v>
      </c>
      <c r="BP609" t="s">
        <v>74</v>
      </c>
      <c r="BQ609" t="s">
        <v>74</v>
      </c>
      <c r="BR609" t="s">
        <v>100</v>
      </c>
      <c r="BS609" t="s">
        <v>10224</v>
      </c>
      <c r="BT609" t="str">
        <f>HYPERLINK("https%3A%2F%2Fwww.webofscience.com%2Fwos%2Fwoscc%2Ffull-record%2FWOS:000251841800004","View Full Record in Web of Science")</f>
        <v>View Full Record in Web of Science</v>
      </c>
    </row>
    <row r="610" spans="1:72" x14ac:dyDescent="0.15">
      <c r="A610" t="s">
        <v>72</v>
      </c>
      <c r="B610" t="s">
        <v>10225</v>
      </c>
      <c r="C610" t="s">
        <v>74</v>
      </c>
      <c r="D610" t="s">
        <v>74</v>
      </c>
      <c r="E610" t="s">
        <v>74</v>
      </c>
      <c r="F610" t="s">
        <v>10226</v>
      </c>
      <c r="G610" t="s">
        <v>74</v>
      </c>
      <c r="H610" t="s">
        <v>74</v>
      </c>
      <c r="I610" t="s">
        <v>10227</v>
      </c>
      <c r="J610" t="s">
        <v>10203</v>
      </c>
      <c r="K610" t="s">
        <v>74</v>
      </c>
      <c r="L610" t="s">
        <v>74</v>
      </c>
      <c r="M610" t="s">
        <v>78</v>
      </c>
      <c r="N610" t="s">
        <v>1602</v>
      </c>
      <c r="O610" t="s">
        <v>10204</v>
      </c>
      <c r="P610" t="s">
        <v>10205</v>
      </c>
      <c r="Q610" t="s">
        <v>10206</v>
      </c>
      <c r="R610" t="s">
        <v>74</v>
      </c>
      <c r="S610" t="s">
        <v>74</v>
      </c>
      <c r="T610" t="s">
        <v>10228</v>
      </c>
      <c r="U610" t="s">
        <v>10229</v>
      </c>
      <c r="V610" t="s">
        <v>10230</v>
      </c>
      <c r="W610" t="s">
        <v>10231</v>
      </c>
      <c r="X610" t="s">
        <v>10232</v>
      </c>
      <c r="Y610" t="s">
        <v>10233</v>
      </c>
      <c r="Z610" t="s">
        <v>10234</v>
      </c>
      <c r="AA610" t="s">
        <v>10235</v>
      </c>
      <c r="AB610" t="s">
        <v>10236</v>
      </c>
      <c r="AC610" t="s">
        <v>10237</v>
      </c>
      <c r="AD610" t="s">
        <v>242</v>
      </c>
      <c r="AE610" t="s">
        <v>74</v>
      </c>
      <c r="AF610" t="s">
        <v>74</v>
      </c>
      <c r="AG610">
        <v>24</v>
      </c>
      <c r="AH610">
        <v>13</v>
      </c>
      <c r="AI610">
        <v>13</v>
      </c>
      <c r="AJ610">
        <v>0</v>
      </c>
      <c r="AK610">
        <v>7</v>
      </c>
      <c r="AL610" t="s">
        <v>521</v>
      </c>
      <c r="AM610" t="s">
        <v>522</v>
      </c>
      <c r="AN610" t="s">
        <v>523</v>
      </c>
      <c r="AO610" t="s">
        <v>10216</v>
      </c>
      <c r="AP610" t="s">
        <v>74</v>
      </c>
      <c r="AQ610" t="s">
        <v>74</v>
      </c>
      <c r="AR610" t="s">
        <v>10218</v>
      </c>
      <c r="AS610" t="s">
        <v>10219</v>
      </c>
      <c r="AT610" t="s">
        <v>9266</v>
      </c>
      <c r="AU610">
        <v>2007</v>
      </c>
      <c r="AV610">
        <v>69</v>
      </c>
      <c r="AW610" t="s">
        <v>10220</v>
      </c>
      <c r="AX610" t="s">
        <v>74</v>
      </c>
      <c r="AY610" t="s">
        <v>74</v>
      </c>
      <c r="AZ610" t="s">
        <v>74</v>
      </c>
      <c r="BA610" t="s">
        <v>74</v>
      </c>
      <c r="BB610">
        <v>2219</v>
      </c>
      <c r="BC610">
        <v>2237</v>
      </c>
      <c r="BD610" t="s">
        <v>74</v>
      </c>
      <c r="BE610" t="s">
        <v>10238</v>
      </c>
      <c r="BF610" t="str">
        <f>HYPERLINK("http://dx.doi.org/10.1016/j.jastp.2007.04.010","http://dx.doi.org/10.1016/j.jastp.2007.04.010")</f>
        <v>http://dx.doi.org/10.1016/j.jastp.2007.04.010</v>
      </c>
      <c r="BG610" t="s">
        <v>74</v>
      </c>
      <c r="BH610" t="s">
        <v>74</v>
      </c>
      <c r="BI610">
        <v>19</v>
      </c>
      <c r="BJ610" t="s">
        <v>10222</v>
      </c>
      <c r="BK610" t="s">
        <v>8389</v>
      </c>
      <c r="BL610" t="s">
        <v>10222</v>
      </c>
      <c r="BM610" t="s">
        <v>10223</v>
      </c>
      <c r="BN610" t="s">
        <v>74</v>
      </c>
      <c r="BO610" t="s">
        <v>74</v>
      </c>
      <c r="BP610" t="s">
        <v>74</v>
      </c>
      <c r="BQ610" t="s">
        <v>74</v>
      </c>
      <c r="BR610" t="s">
        <v>100</v>
      </c>
      <c r="BS610" t="s">
        <v>10239</v>
      </c>
      <c r="BT610" t="str">
        <f>HYPERLINK("https%3A%2F%2Fwww.webofscience.com%2Fwos%2Fwoscc%2Ffull-record%2FWOS:000251841800008","View Full Record in Web of Science")</f>
        <v>View Full Record in Web of Science</v>
      </c>
    </row>
    <row r="611" spans="1:72" x14ac:dyDescent="0.15">
      <c r="A611" t="s">
        <v>72</v>
      </c>
      <c r="B611" t="s">
        <v>10240</v>
      </c>
      <c r="C611" t="s">
        <v>74</v>
      </c>
      <c r="D611" t="s">
        <v>74</v>
      </c>
      <c r="E611" t="s">
        <v>74</v>
      </c>
      <c r="F611" t="s">
        <v>10241</v>
      </c>
      <c r="G611" t="s">
        <v>74</v>
      </c>
      <c r="H611" t="s">
        <v>74</v>
      </c>
      <c r="I611" t="s">
        <v>10242</v>
      </c>
      <c r="J611" t="s">
        <v>10243</v>
      </c>
      <c r="K611" t="s">
        <v>74</v>
      </c>
      <c r="L611" t="s">
        <v>74</v>
      </c>
      <c r="M611" t="s">
        <v>78</v>
      </c>
      <c r="N611" t="s">
        <v>79</v>
      </c>
      <c r="O611" t="s">
        <v>74</v>
      </c>
      <c r="P611" t="s">
        <v>74</v>
      </c>
      <c r="Q611" t="s">
        <v>74</v>
      </c>
      <c r="R611" t="s">
        <v>74</v>
      </c>
      <c r="S611" t="s">
        <v>74</v>
      </c>
      <c r="T611" t="s">
        <v>10244</v>
      </c>
      <c r="U611" t="s">
        <v>10245</v>
      </c>
      <c r="V611" t="s">
        <v>10246</v>
      </c>
      <c r="W611" t="s">
        <v>10247</v>
      </c>
      <c r="X611" t="s">
        <v>2493</v>
      </c>
      <c r="Y611" t="s">
        <v>10248</v>
      </c>
      <c r="Z611" t="s">
        <v>10249</v>
      </c>
      <c r="AA611" t="s">
        <v>74</v>
      </c>
      <c r="AB611" t="s">
        <v>74</v>
      </c>
      <c r="AC611" t="s">
        <v>74</v>
      </c>
      <c r="AD611" t="s">
        <v>74</v>
      </c>
      <c r="AE611" t="s">
        <v>74</v>
      </c>
      <c r="AF611" t="s">
        <v>74</v>
      </c>
      <c r="AG611">
        <v>34</v>
      </c>
      <c r="AH611">
        <v>74</v>
      </c>
      <c r="AI611">
        <v>79</v>
      </c>
      <c r="AJ611">
        <v>1</v>
      </c>
      <c r="AK611">
        <v>19</v>
      </c>
      <c r="AL611" t="s">
        <v>1219</v>
      </c>
      <c r="AM611" t="s">
        <v>89</v>
      </c>
      <c r="AN611" t="s">
        <v>90</v>
      </c>
      <c r="AO611" t="s">
        <v>10250</v>
      </c>
      <c r="AP611" t="s">
        <v>10251</v>
      </c>
      <c r="AQ611" t="s">
        <v>74</v>
      </c>
      <c r="AR611" t="s">
        <v>10252</v>
      </c>
      <c r="AS611" t="s">
        <v>10253</v>
      </c>
      <c r="AT611" t="s">
        <v>9266</v>
      </c>
      <c r="AU611">
        <v>2007</v>
      </c>
      <c r="AV611">
        <v>47</v>
      </c>
      <c r="AW611">
        <v>6</v>
      </c>
      <c r="AX611" t="s">
        <v>74</v>
      </c>
      <c r="AY611" t="s">
        <v>74</v>
      </c>
      <c r="AZ611" t="s">
        <v>74</v>
      </c>
      <c r="BA611" t="s">
        <v>74</v>
      </c>
      <c r="BB611">
        <v>496</v>
      </c>
      <c r="BC611" t="s">
        <v>865</v>
      </c>
      <c r="BD611" t="s">
        <v>74</v>
      </c>
      <c r="BE611" t="s">
        <v>10254</v>
      </c>
      <c r="BF611" t="str">
        <f>HYPERLINK("http://dx.doi.org/10.1002/jobm.200700227","http://dx.doi.org/10.1002/jobm.200700227")</f>
        <v>http://dx.doi.org/10.1002/jobm.200700227</v>
      </c>
      <c r="BG611" t="s">
        <v>74</v>
      </c>
      <c r="BH611" t="s">
        <v>74</v>
      </c>
      <c r="BI611">
        <v>10</v>
      </c>
      <c r="BJ611" t="s">
        <v>4198</v>
      </c>
      <c r="BK611" t="s">
        <v>97</v>
      </c>
      <c r="BL611" t="s">
        <v>4198</v>
      </c>
      <c r="BM611" t="s">
        <v>10255</v>
      </c>
      <c r="BN611">
        <v>18072250</v>
      </c>
      <c r="BO611" t="s">
        <v>74</v>
      </c>
      <c r="BP611" t="s">
        <v>74</v>
      </c>
      <c r="BQ611" t="s">
        <v>74</v>
      </c>
      <c r="BR611" t="s">
        <v>100</v>
      </c>
      <c r="BS611" t="s">
        <v>10256</v>
      </c>
      <c r="BT611" t="str">
        <f>HYPERLINK("https%3A%2F%2Fwww.webofscience.com%2Fwos%2Fwoscc%2Ffull-record%2FWOS:000252290800005","View Full Record in Web of Science")</f>
        <v>View Full Record in Web of Science</v>
      </c>
    </row>
    <row r="612" spans="1:72" x14ac:dyDescent="0.15">
      <c r="A612" t="s">
        <v>72</v>
      </c>
      <c r="B612" t="s">
        <v>10257</v>
      </c>
      <c r="C612" t="s">
        <v>74</v>
      </c>
      <c r="D612" t="s">
        <v>74</v>
      </c>
      <c r="E612" t="s">
        <v>74</v>
      </c>
      <c r="F612" t="s">
        <v>10258</v>
      </c>
      <c r="G612" t="s">
        <v>74</v>
      </c>
      <c r="H612" t="s">
        <v>74</v>
      </c>
      <c r="I612" t="s">
        <v>10259</v>
      </c>
      <c r="J612" t="s">
        <v>10260</v>
      </c>
      <c r="K612" t="s">
        <v>74</v>
      </c>
      <c r="L612" t="s">
        <v>74</v>
      </c>
      <c r="M612" t="s">
        <v>78</v>
      </c>
      <c r="N612" t="s">
        <v>79</v>
      </c>
      <c r="O612" t="s">
        <v>74</v>
      </c>
      <c r="P612" t="s">
        <v>74</v>
      </c>
      <c r="Q612" t="s">
        <v>74</v>
      </c>
      <c r="R612" t="s">
        <v>74</v>
      </c>
      <c r="S612" t="s">
        <v>74</v>
      </c>
      <c r="T612" t="s">
        <v>10261</v>
      </c>
      <c r="U612" t="s">
        <v>10262</v>
      </c>
      <c r="V612" t="s">
        <v>10263</v>
      </c>
      <c r="W612" t="s">
        <v>10264</v>
      </c>
      <c r="X612" t="s">
        <v>10265</v>
      </c>
      <c r="Y612" t="s">
        <v>10266</v>
      </c>
      <c r="Z612" t="s">
        <v>10267</v>
      </c>
      <c r="AA612" t="s">
        <v>10268</v>
      </c>
      <c r="AB612" t="s">
        <v>10269</v>
      </c>
      <c r="AC612" t="s">
        <v>74</v>
      </c>
      <c r="AD612" t="s">
        <v>74</v>
      </c>
      <c r="AE612" t="s">
        <v>74</v>
      </c>
      <c r="AF612" t="s">
        <v>74</v>
      </c>
      <c r="AG612">
        <v>77</v>
      </c>
      <c r="AH612">
        <v>119</v>
      </c>
      <c r="AI612">
        <v>138</v>
      </c>
      <c r="AJ612">
        <v>0</v>
      </c>
      <c r="AK612">
        <v>33</v>
      </c>
      <c r="AL612" t="s">
        <v>1219</v>
      </c>
      <c r="AM612" t="s">
        <v>89</v>
      </c>
      <c r="AN612" t="s">
        <v>90</v>
      </c>
      <c r="AO612" t="s">
        <v>10270</v>
      </c>
      <c r="AP612" t="s">
        <v>10271</v>
      </c>
      <c r="AQ612" t="s">
        <v>74</v>
      </c>
      <c r="AR612" t="s">
        <v>10272</v>
      </c>
      <c r="AS612" t="s">
        <v>10273</v>
      </c>
      <c r="AT612" t="s">
        <v>9266</v>
      </c>
      <c r="AU612">
        <v>2007</v>
      </c>
      <c r="AV612">
        <v>34</v>
      </c>
      <c r="AW612">
        <v>12</v>
      </c>
      <c r="AX612" t="s">
        <v>74</v>
      </c>
      <c r="AY612" t="s">
        <v>74</v>
      </c>
      <c r="AZ612" t="s">
        <v>74</v>
      </c>
      <c r="BA612" t="s">
        <v>74</v>
      </c>
      <c r="BB612">
        <v>2070</v>
      </c>
      <c r="BC612">
        <v>2085</v>
      </c>
      <c r="BD612" t="s">
        <v>74</v>
      </c>
      <c r="BE612" t="s">
        <v>10274</v>
      </c>
      <c r="BF612" t="str">
        <f>HYPERLINK("http://dx.doi.org/10.1111/j.1365-2699.2007.01755.x","http://dx.doi.org/10.1111/j.1365-2699.2007.01755.x")</f>
        <v>http://dx.doi.org/10.1111/j.1365-2699.2007.01755.x</v>
      </c>
      <c r="BG612" t="s">
        <v>74</v>
      </c>
      <c r="BH612" t="s">
        <v>74</v>
      </c>
      <c r="BI612">
        <v>16</v>
      </c>
      <c r="BJ612" t="s">
        <v>4448</v>
      </c>
      <c r="BK612" t="s">
        <v>97</v>
      </c>
      <c r="BL612" t="s">
        <v>4449</v>
      </c>
      <c r="BM612" t="s">
        <v>10275</v>
      </c>
      <c r="BN612" t="s">
        <v>74</v>
      </c>
      <c r="BO612" t="s">
        <v>74</v>
      </c>
      <c r="BP612" t="s">
        <v>74</v>
      </c>
      <c r="BQ612" t="s">
        <v>74</v>
      </c>
      <c r="BR612" t="s">
        <v>100</v>
      </c>
      <c r="BS612" t="s">
        <v>10276</v>
      </c>
      <c r="BT612" t="str">
        <f>HYPERLINK("https%3A%2F%2Fwww.webofscience.com%2Fwos%2Fwoscc%2Ffull-record%2FWOS:000250942200007","View Full Record in Web of Science")</f>
        <v>View Full Record in Web of Science</v>
      </c>
    </row>
    <row r="613" spans="1:72" x14ac:dyDescent="0.15">
      <c r="A613" t="s">
        <v>72</v>
      </c>
      <c r="B613" t="s">
        <v>10277</v>
      </c>
      <c r="C613" t="s">
        <v>74</v>
      </c>
      <c r="D613" t="s">
        <v>74</v>
      </c>
      <c r="E613" t="s">
        <v>74</v>
      </c>
      <c r="F613" t="s">
        <v>10278</v>
      </c>
      <c r="G613" t="s">
        <v>74</v>
      </c>
      <c r="H613" t="s">
        <v>74</v>
      </c>
      <c r="I613" t="s">
        <v>10279</v>
      </c>
      <c r="J613" t="s">
        <v>574</v>
      </c>
      <c r="K613" t="s">
        <v>74</v>
      </c>
      <c r="L613" t="s">
        <v>74</v>
      </c>
      <c r="M613" t="s">
        <v>78</v>
      </c>
      <c r="N613" t="s">
        <v>79</v>
      </c>
      <c r="O613" t="s">
        <v>74</v>
      </c>
      <c r="P613" t="s">
        <v>74</v>
      </c>
      <c r="Q613" t="s">
        <v>74</v>
      </c>
      <c r="R613" t="s">
        <v>74</v>
      </c>
      <c r="S613" t="s">
        <v>74</v>
      </c>
      <c r="T613" t="s">
        <v>74</v>
      </c>
      <c r="U613" t="s">
        <v>10280</v>
      </c>
      <c r="V613" t="s">
        <v>10281</v>
      </c>
      <c r="W613" t="s">
        <v>10282</v>
      </c>
      <c r="X613" t="s">
        <v>10283</v>
      </c>
      <c r="Y613" t="s">
        <v>10284</v>
      </c>
      <c r="Z613" t="s">
        <v>10285</v>
      </c>
      <c r="AA613" t="s">
        <v>74</v>
      </c>
      <c r="AB613" t="s">
        <v>10286</v>
      </c>
      <c r="AC613" t="s">
        <v>74</v>
      </c>
      <c r="AD613" t="s">
        <v>74</v>
      </c>
      <c r="AE613" t="s">
        <v>74</v>
      </c>
      <c r="AF613" t="s">
        <v>74</v>
      </c>
      <c r="AG613">
        <v>30</v>
      </c>
      <c r="AH613">
        <v>15</v>
      </c>
      <c r="AI613">
        <v>15</v>
      </c>
      <c r="AJ613">
        <v>0</v>
      </c>
      <c r="AK613">
        <v>11</v>
      </c>
      <c r="AL613" t="s">
        <v>583</v>
      </c>
      <c r="AM613" t="s">
        <v>584</v>
      </c>
      <c r="AN613" t="s">
        <v>585</v>
      </c>
      <c r="AO613" t="s">
        <v>586</v>
      </c>
      <c r="AP613" t="s">
        <v>587</v>
      </c>
      <c r="AQ613" t="s">
        <v>74</v>
      </c>
      <c r="AR613" t="s">
        <v>588</v>
      </c>
      <c r="AS613" t="s">
        <v>589</v>
      </c>
      <c r="AT613" t="s">
        <v>9266</v>
      </c>
      <c r="AU613">
        <v>2007</v>
      </c>
      <c r="AV613">
        <v>20</v>
      </c>
      <c r="AW613">
        <v>23</v>
      </c>
      <c r="AX613" t="s">
        <v>74</v>
      </c>
      <c r="AY613" t="s">
        <v>74</v>
      </c>
      <c r="AZ613" t="s">
        <v>74</v>
      </c>
      <c r="BA613" t="s">
        <v>74</v>
      </c>
      <c r="BB613">
        <v>5815</v>
      </c>
      <c r="BC613">
        <v>5826</v>
      </c>
      <c r="BD613" t="s">
        <v>74</v>
      </c>
      <c r="BE613" t="s">
        <v>10287</v>
      </c>
      <c r="BF613" t="str">
        <f>HYPERLINK("http://dx.doi.org/10.1175/2007JCLI1688.1","http://dx.doi.org/10.1175/2007JCLI1688.1")</f>
        <v>http://dx.doi.org/10.1175/2007JCLI1688.1</v>
      </c>
      <c r="BG613" t="s">
        <v>74</v>
      </c>
      <c r="BH613" t="s">
        <v>74</v>
      </c>
      <c r="BI613">
        <v>12</v>
      </c>
      <c r="BJ613" t="s">
        <v>204</v>
      </c>
      <c r="BK613" t="s">
        <v>97</v>
      </c>
      <c r="BL613" t="s">
        <v>204</v>
      </c>
      <c r="BM613" t="s">
        <v>10288</v>
      </c>
      <c r="BN613" t="s">
        <v>74</v>
      </c>
      <c r="BO613" t="s">
        <v>649</v>
      </c>
      <c r="BP613" t="s">
        <v>74</v>
      </c>
      <c r="BQ613" t="s">
        <v>74</v>
      </c>
      <c r="BR613" t="s">
        <v>100</v>
      </c>
      <c r="BS613" t="s">
        <v>10289</v>
      </c>
      <c r="BT613" t="str">
        <f>HYPERLINK("https%3A%2F%2Fwww.webofscience.com%2Fwos%2Fwoscc%2Ffull-record%2FWOS:000251534800010","View Full Record in Web of Science")</f>
        <v>View Full Record in Web of Science</v>
      </c>
    </row>
    <row r="614" spans="1:72" x14ac:dyDescent="0.15">
      <c r="A614" t="s">
        <v>72</v>
      </c>
      <c r="B614" t="s">
        <v>10290</v>
      </c>
      <c r="C614" t="s">
        <v>74</v>
      </c>
      <c r="D614" t="s">
        <v>74</v>
      </c>
      <c r="E614" t="s">
        <v>74</v>
      </c>
      <c r="F614" t="s">
        <v>10291</v>
      </c>
      <c r="G614" t="s">
        <v>74</v>
      </c>
      <c r="H614" t="s">
        <v>74</v>
      </c>
      <c r="I614" t="s">
        <v>10292</v>
      </c>
      <c r="J614" t="s">
        <v>10293</v>
      </c>
      <c r="K614" t="s">
        <v>74</v>
      </c>
      <c r="L614" t="s">
        <v>74</v>
      </c>
      <c r="M614" t="s">
        <v>78</v>
      </c>
      <c r="N614" t="s">
        <v>2353</v>
      </c>
      <c r="O614" t="s">
        <v>74</v>
      </c>
      <c r="P614" t="s">
        <v>74</v>
      </c>
      <c r="Q614" t="s">
        <v>74</v>
      </c>
      <c r="R614" t="s">
        <v>74</v>
      </c>
      <c r="S614" t="s">
        <v>74</v>
      </c>
      <c r="T614" t="s">
        <v>74</v>
      </c>
      <c r="U614" t="s">
        <v>74</v>
      </c>
      <c r="V614" t="s">
        <v>74</v>
      </c>
      <c r="W614" t="s">
        <v>74</v>
      </c>
      <c r="X614" t="s">
        <v>74</v>
      </c>
      <c r="Y614" t="s">
        <v>74</v>
      </c>
      <c r="Z614" t="s">
        <v>74</v>
      </c>
      <c r="AA614" t="s">
        <v>10294</v>
      </c>
      <c r="AB614" t="s">
        <v>10295</v>
      </c>
      <c r="AC614" t="s">
        <v>74</v>
      </c>
      <c r="AD614" t="s">
        <v>74</v>
      </c>
      <c r="AE614" t="s">
        <v>74</v>
      </c>
      <c r="AF614" t="s">
        <v>74</v>
      </c>
      <c r="AG614">
        <v>1</v>
      </c>
      <c r="AH614">
        <v>0</v>
      </c>
      <c r="AI614">
        <v>0</v>
      </c>
      <c r="AJ614">
        <v>0</v>
      </c>
      <c r="AK614">
        <v>6</v>
      </c>
      <c r="AL614" t="s">
        <v>10296</v>
      </c>
      <c r="AM614" t="s">
        <v>10297</v>
      </c>
      <c r="AN614" t="s">
        <v>10298</v>
      </c>
      <c r="AO614" t="s">
        <v>10299</v>
      </c>
      <c r="AP614" t="s">
        <v>74</v>
      </c>
      <c r="AQ614" t="s">
        <v>74</v>
      </c>
      <c r="AR614" t="s">
        <v>10300</v>
      </c>
      <c r="AS614" t="s">
        <v>10301</v>
      </c>
      <c r="AT614" t="s">
        <v>9266</v>
      </c>
      <c r="AU614">
        <v>2007</v>
      </c>
      <c r="AV614">
        <v>12</v>
      </c>
      <c r="AW614">
        <v>4</v>
      </c>
      <c r="AX614" t="s">
        <v>74</v>
      </c>
      <c r="AY614" t="s">
        <v>74</v>
      </c>
      <c r="AZ614" t="s">
        <v>74</v>
      </c>
      <c r="BA614" t="s">
        <v>74</v>
      </c>
      <c r="BB614">
        <v>353</v>
      </c>
      <c r="BC614">
        <v>353</v>
      </c>
      <c r="BD614" t="s">
        <v>74</v>
      </c>
      <c r="BE614" t="s">
        <v>74</v>
      </c>
      <c r="BF614" t="s">
        <v>74</v>
      </c>
      <c r="BG614" t="s">
        <v>74</v>
      </c>
      <c r="BH614" t="s">
        <v>74</v>
      </c>
      <c r="BI614">
        <v>1</v>
      </c>
      <c r="BJ614" t="s">
        <v>10302</v>
      </c>
      <c r="BK614" t="s">
        <v>97</v>
      </c>
      <c r="BL614" t="s">
        <v>10303</v>
      </c>
      <c r="BM614" t="s">
        <v>10304</v>
      </c>
      <c r="BN614" t="s">
        <v>74</v>
      </c>
      <c r="BO614" t="s">
        <v>74</v>
      </c>
      <c r="BP614" t="s">
        <v>74</v>
      </c>
      <c r="BQ614" t="s">
        <v>74</v>
      </c>
      <c r="BR614" t="s">
        <v>100</v>
      </c>
      <c r="BS614" t="s">
        <v>10305</v>
      </c>
      <c r="BT614" t="str">
        <f>HYPERLINK("https%3A%2F%2Fwww.webofscience.com%2Fwos%2Fwoscc%2Ffull-record%2FWOS:000251524000007","View Full Record in Web of Science")</f>
        <v>View Full Record in Web of Science</v>
      </c>
    </row>
    <row r="615" spans="1:72" x14ac:dyDescent="0.15">
      <c r="A615" t="s">
        <v>72</v>
      </c>
      <c r="B615" t="s">
        <v>10306</v>
      </c>
      <c r="C615" t="s">
        <v>74</v>
      </c>
      <c r="D615" t="s">
        <v>74</v>
      </c>
      <c r="E615" t="s">
        <v>74</v>
      </c>
      <c r="F615" t="s">
        <v>10307</v>
      </c>
      <c r="G615" t="s">
        <v>74</v>
      </c>
      <c r="H615" t="s">
        <v>74</v>
      </c>
      <c r="I615" t="s">
        <v>10308</v>
      </c>
      <c r="J615" t="s">
        <v>10309</v>
      </c>
      <c r="K615" t="s">
        <v>74</v>
      </c>
      <c r="L615" t="s">
        <v>74</v>
      </c>
      <c r="M615" t="s">
        <v>78</v>
      </c>
      <c r="N615" t="s">
        <v>79</v>
      </c>
      <c r="O615" t="s">
        <v>74</v>
      </c>
      <c r="P615" t="s">
        <v>74</v>
      </c>
      <c r="Q615" t="s">
        <v>74</v>
      </c>
      <c r="R615" t="s">
        <v>74</v>
      </c>
      <c r="S615" t="s">
        <v>74</v>
      </c>
      <c r="T615" t="s">
        <v>10310</v>
      </c>
      <c r="U615" t="s">
        <v>10311</v>
      </c>
      <c r="V615" t="s">
        <v>10312</v>
      </c>
      <c r="W615" t="s">
        <v>10313</v>
      </c>
      <c r="X615" t="s">
        <v>10314</v>
      </c>
      <c r="Y615" t="s">
        <v>10315</v>
      </c>
      <c r="Z615" t="s">
        <v>10316</v>
      </c>
      <c r="AA615" t="s">
        <v>10317</v>
      </c>
      <c r="AB615" t="s">
        <v>10318</v>
      </c>
      <c r="AC615" t="s">
        <v>74</v>
      </c>
      <c r="AD615" t="s">
        <v>74</v>
      </c>
      <c r="AE615" t="s">
        <v>74</v>
      </c>
      <c r="AF615" t="s">
        <v>74</v>
      </c>
      <c r="AG615">
        <v>88</v>
      </c>
      <c r="AH615">
        <v>7</v>
      </c>
      <c r="AI615">
        <v>8</v>
      </c>
      <c r="AJ615">
        <v>0</v>
      </c>
      <c r="AK615">
        <v>6</v>
      </c>
      <c r="AL615" t="s">
        <v>265</v>
      </c>
      <c r="AM615" t="s">
        <v>266</v>
      </c>
      <c r="AN615" t="s">
        <v>267</v>
      </c>
      <c r="AO615" t="s">
        <v>10319</v>
      </c>
      <c r="AP615" t="s">
        <v>10320</v>
      </c>
      <c r="AQ615" t="s">
        <v>74</v>
      </c>
      <c r="AR615" t="s">
        <v>10321</v>
      </c>
      <c r="AS615" t="s">
        <v>10322</v>
      </c>
      <c r="AT615" t="s">
        <v>9266</v>
      </c>
      <c r="AU615">
        <v>2007</v>
      </c>
      <c r="AV615">
        <v>68</v>
      </c>
      <c r="AW615" t="s">
        <v>489</v>
      </c>
      <c r="AX615" t="s">
        <v>74</v>
      </c>
      <c r="AY615" t="s">
        <v>74</v>
      </c>
      <c r="AZ615" t="s">
        <v>74</v>
      </c>
      <c r="BA615" t="s">
        <v>74</v>
      </c>
      <c r="BB615">
        <v>366</v>
      </c>
      <c r="BC615">
        <v>380</v>
      </c>
      <c r="BD615" t="s">
        <v>74</v>
      </c>
      <c r="BE615" t="s">
        <v>10323</v>
      </c>
      <c r="BF615" t="str">
        <f>HYPERLINK("http://dx.doi.org/10.1016/j.jmarsys.2007.02.007","http://dx.doi.org/10.1016/j.jmarsys.2007.02.007")</f>
        <v>http://dx.doi.org/10.1016/j.jmarsys.2007.02.007</v>
      </c>
      <c r="BG615" t="s">
        <v>74</v>
      </c>
      <c r="BH615" t="s">
        <v>74</v>
      </c>
      <c r="BI615">
        <v>15</v>
      </c>
      <c r="BJ615" t="s">
        <v>10324</v>
      </c>
      <c r="BK615" t="s">
        <v>97</v>
      </c>
      <c r="BL615" t="s">
        <v>10325</v>
      </c>
      <c r="BM615" t="s">
        <v>10326</v>
      </c>
      <c r="BN615" t="s">
        <v>74</v>
      </c>
      <c r="BO615" t="s">
        <v>1050</v>
      </c>
      <c r="BP615" t="s">
        <v>74</v>
      </c>
      <c r="BQ615" t="s">
        <v>74</v>
      </c>
      <c r="BR615" t="s">
        <v>100</v>
      </c>
      <c r="BS615" t="s">
        <v>10327</v>
      </c>
      <c r="BT615" t="str">
        <f>HYPERLINK("https%3A%2F%2Fwww.webofscience.com%2Fwos%2Fwoscc%2Ffull-record%2FWOS:000251837500005","View Full Record in Web of Science")</f>
        <v>View Full Record in Web of Science</v>
      </c>
    </row>
    <row r="616" spans="1:72" x14ac:dyDescent="0.15">
      <c r="A616" t="s">
        <v>72</v>
      </c>
      <c r="B616" t="s">
        <v>10328</v>
      </c>
      <c r="C616" t="s">
        <v>74</v>
      </c>
      <c r="D616" t="s">
        <v>74</v>
      </c>
      <c r="E616" t="s">
        <v>74</v>
      </c>
      <c r="F616" t="s">
        <v>10329</v>
      </c>
      <c r="G616" t="s">
        <v>74</v>
      </c>
      <c r="H616" t="s">
        <v>74</v>
      </c>
      <c r="I616" t="s">
        <v>10330</v>
      </c>
      <c r="J616" t="s">
        <v>10331</v>
      </c>
      <c r="K616" t="s">
        <v>74</v>
      </c>
      <c r="L616" t="s">
        <v>74</v>
      </c>
      <c r="M616" t="s">
        <v>78</v>
      </c>
      <c r="N616" t="s">
        <v>79</v>
      </c>
      <c r="O616" t="s">
        <v>74</v>
      </c>
      <c r="P616" t="s">
        <v>74</v>
      </c>
      <c r="Q616" t="s">
        <v>74</v>
      </c>
      <c r="R616" t="s">
        <v>74</v>
      </c>
      <c r="S616" t="s">
        <v>74</v>
      </c>
      <c r="T616" t="s">
        <v>10332</v>
      </c>
      <c r="U616" t="s">
        <v>10333</v>
      </c>
      <c r="V616" t="s">
        <v>10334</v>
      </c>
      <c r="W616" t="s">
        <v>10335</v>
      </c>
      <c r="X616" t="s">
        <v>10336</v>
      </c>
      <c r="Y616" t="s">
        <v>10337</v>
      </c>
      <c r="Z616" t="s">
        <v>10338</v>
      </c>
      <c r="AA616" t="s">
        <v>10339</v>
      </c>
      <c r="AB616" t="s">
        <v>10340</v>
      </c>
      <c r="AC616" t="s">
        <v>74</v>
      </c>
      <c r="AD616" t="s">
        <v>74</v>
      </c>
      <c r="AE616" t="s">
        <v>74</v>
      </c>
      <c r="AF616" t="s">
        <v>74</v>
      </c>
      <c r="AG616">
        <v>56</v>
      </c>
      <c r="AH616">
        <v>34</v>
      </c>
      <c r="AI616">
        <v>35</v>
      </c>
      <c r="AJ616">
        <v>1</v>
      </c>
      <c r="AK616">
        <v>10</v>
      </c>
      <c r="AL616" t="s">
        <v>1219</v>
      </c>
      <c r="AM616" t="s">
        <v>89</v>
      </c>
      <c r="AN616" t="s">
        <v>90</v>
      </c>
      <c r="AO616" t="s">
        <v>10341</v>
      </c>
      <c r="AP616" t="s">
        <v>10342</v>
      </c>
      <c r="AQ616" t="s">
        <v>74</v>
      </c>
      <c r="AR616" t="s">
        <v>10343</v>
      </c>
      <c r="AS616" t="s">
        <v>10344</v>
      </c>
      <c r="AT616" t="s">
        <v>9266</v>
      </c>
      <c r="AU616">
        <v>2007</v>
      </c>
      <c r="AV616">
        <v>25</v>
      </c>
      <c r="AW616">
        <v>9</v>
      </c>
      <c r="AX616" t="s">
        <v>74</v>
      </c>
      <c r="AY616" t="s">
        <v>74</v>
      </c>
      <c r="AZ616" t="s">
        <v>74</v>
      </c>
      <c r="BA616" t="s">
        <v>74</v>
      </c>
      <c r="BB616">
        <v>935</v>
      </c>
      <c r="BC616">
        <v>952</v>
      </c>
      <c r="BD616" t="s">
        <v>74</v>
      </c>
      <c r="BE616" t="s">
        <v>10345</v>
      </c>
      <c r="BF616" t="str">
        <f>HYPERLINK("http://dx.doi.org/10.1111/j.1525-1314.2007.00736.x","http://dx.doi.org/10.1111/j.1525-1314.2007.00736.x")</f>
        <v>http://dx.doi.org/10.1111/j.1525-1314.2007.00736.x</v>
      </c>
      <c r="BG616" t="s">
        <v>74</v>
      </c>
      <c r="BH616" t="s">
        <v>74</v>
      </c>
      <c r="BI616">
        <v>18</v>
      </c>
      <c r="BJ616" t="s">
        <v>98</v>
      </c>
      <c r="BK616" t="s">
        <v>97</v>
      </c>
      <c r="BL616" t="s">
        <v>98</v>
      </c>
      <c r="BM616" t="s">
        <v>10346</v>
      </c>
      <c r="BN616" t="s">
        <v>74</v>
      </c>
      <c r="BO616" t="s">
        <v>74</v>
      </c>
      <c r="BP616" t="s">
        <v>74</v>
      </c>
      <c r="BQ616" t="s">
        <v>74</v>
      </c>
      <c r="BR616" t="s">
        <v>100</v>
      </c>
      <c r="BS616" t="s">
        <v>10347</v>
      </c>
      <c r="BT616" t="str">
        <f>HYPERLINK("https%3A%2F%2Fwww.webofscience.com%2Fwos%2Fwoscc%2Ffull-record%2FWOS:000250943000001","View Full Record in Web of Science")</f>
        <v>View Full Record in Web of Science</v>
      </c>
    </row>
    <row r="617" spans="1:72" x14ac:dyDescent="0.15">
      <c r="A617" t="s">
        <v>72</v>
      </c>
      <c r="B617" t="s">
        <v>10348</v>
      </c>
      <c r="C617" t="s">
        <v>74</v>
      </c>
      <c r="D617" t="s">
        <v>74</v>
      </c>
      <c r="E617" t="s">
        <v>74</v>
      </c>
      <c r="F617" t="s">
        <v>10349</v>
      </c>
      <c r="G617" t="s">
        <v>74</v>
      </c>
      <c r="H617" t="s">
        <v>74</v>
      </c>
      <c r="I617" t="s">
        <v>10350</v>
      </c>
      <c r="J617" t="s">
        <v>10351</v>
      </c>
      <c r="K617" t="s">
        <v>74</v>
      </c>
      <c r="L617" t="s">
        <v>74</v>
      </c>
      <c r="M617" t="s">
        <v>78</v>
      </c>
      <c r="N617" t="s">
        <v>79</v>
      </c>
      <c r="O617" t="s">
        <v>74</v>
      </c>
      <c r="P617" t="s">
        <v>74</v>
      </c>
      <c r="Q617" t="s">
        <v>74</v>
      </c>
      <c r="R617" t="s">
        <v>74</v>
      </c>
      <c r="S617" t="s">
        <v>74</v>
      </c>
      <c r="T617" t="s">
        <v>10352</v>
      </c>
      <c r="U617" t="s">
        <v>10353</v>
      </c>
      <c r="V617" t="s">
        <v>10354</v>
      </c>
      <c r="W617" t="s">
        <v>10355</v>
      </c>
      <c r="X617" t="s">
        <v>10356</v>
      </c>
      <c r="Y617" t="s">
        <v>10357</v>
      </c>
      <c r="Z617" t="s">
        <v>10358</v>
      </c>
      <c r="AA617" t="s">
        <v>10359</v>
      </c>
      <c r="AB617" t="s">
        <v>10360</v>
      </c>
      <c r="AC617" t="s">
        <v>74</v>
      </c>
      <c r="AD617" t="s">
        <v>74</v>
      </c>
      <c r="AE617" t="s">
        <v>74</v>
      </c>
      <c r="AF617" t="s">
        <v>74</v>
      </c>
      <c r="AG617">
        <v>29</v>
      </c>
      <c r="AH617">
        <v>46</v>
      </c>
      <c r="AI617">
        <v>58</v>
      </c>
      <c r="AJ617">
        <v>1</v>
      </c>
      <c r="AK617">
        <v>23</v>
      </c>
      <c r="AL617" t="s">
        <v>506</v>
      </c>
      <c r="AM617" t="s">
        <v>266</v>
      </c>
      <c r="AN617" t="s">
        <v>507</v>
      </c>
      <c r="AO617" t="s">
        <v>10361</v>
      </c>
      <c r="AP617" t="s">
        <v>74</v>
      </c>
      <c r="AQ617" t="s">
        <v>74</v>
      </c>
      <c r="AR617" t="s">
        <v>10362</v>
      </c>
      <c r="AS617" t="s">
        <v>10363</v>
      </c>
      <c r="AT617" t="s">
        <v>9266</v>
      </c>
      <c r="AU617">
        <v>2007</v>
      </c>
      <c r="AV617">
        <v>71</v>
      </c>
      <c r="AW617">
        <v>3</v>
      </c>
      <c r="AX617" t="s">
        <v>74</v>
      </c>
      <c r="AY617" t="s">
        <v>74</v>
      </c>
      <c r="AZ617" t="s">
        <v>74</v>
      </c>
      <c r="BA617" t="s">
        <v>74</v>
      </c>
      <c r="BB617">
        <v>312</v>
      </c>
      <c r="BC617">
        <v>318</v>
      </c>
      <c r="BD617" t="s">
        <v>74</v>
      </c>
      <c r="BE617" t="s">
        <v>10364</v>
      </c>
      <c r="BF617" t="str">
        <f>HYPERLINK("http://dx.doi.org/10.1016/j.mimet.2007.09.015","http://dx.doi.org/10.1016/j.mimet.2007.09.015")</f>
        <v>http://dx.doi.org/10.1016/j.mimet.2007.09.015</v>
      </c>
      <c r="BG617" t="s">
        <v>74</v>
      </c>
      <c r="BH617" t="s">
        <v>74</v>
      </c>
      <c r="BI617">
        <v>7</v>
      </c>
      <c r="BJ617" t="s">
        <v>10365</v>
      </c>
      <c r="BK617" t="s">
        <v>97</v>
      </c>
      <c r="BL617" t="s">
        <v>4145</v>
      </c>
      <c r="BM617" t="s">
        <v>10366</v>
      </c>
      <c r="BN617">
        <v>17963903</v>
      </c>
      <c r="BO617" t="s">
        <v>74</v>
      </c>
      <c r="BP617" t="s">
        <v>74</v>
      </c>
      <c r="BQ617" t="s">
        <v>74</v>
      </c>
      <c r="BR617" t="s">
        <v>100</v>
      </c>
      <c r="BS617" t="s">
        <v>10367</v>
      </c>
      <c r="BT617" t="str">
        <f>HYPERLINK("https%3A%2F%2Fwww.webofscience.com%2Fwos%2Fwoscc%2Ffull-record%2FWOS:000252080300019","View Full Record in Web of Science")</f>
        <v>View Full Record in Web of Science</v>
      </c>
    </row>
    <row r="618" spans="1:72" x14ac:dyDescent="0.15">
      <c r="A618" t="s">
        <v>72</v>
      </c>
      <c r="B618" t="s">
        <v>10368</v>
      </c>
      <c r="C618" t="s">
        <v>74</v>
      </c>
      <c r="D618" t="s">
        <v>74</v>
      </c>
      <c r="E618" t="s">
        <v>74</v>
      </c>
      <c r="F618" t="s">
        <v>10369</v>
      </c>
      <c r="G618" t="s">
        <v>74</v>
      </c>
      <c r="H618" t="s">
        <v>74</v>
      </c>
      <c r="I618" t="s">
        <v>10370</v>
      </c>
      <c r="J618" t="s">
        <v>10371</v>
      </c>
      <c r="K618" t="s">
        <v>74</v>
      </c>
      <c r="L618" t="s">
        <v>74</v>
      </c>
      <c r="M618" t="s">
        <v>78</v>
      </c>
      <c r="N618" t="s">
        <v>79</v>
      </c>
      <c r="O618" t="s">
        <v>74</v>
      </c>
      <c r="P618" t="s">
        <v>74</v>
      </c>
      <c r="Q618" t="s">
        <v>74</v>
      </c>
      <c r="R618" t="s">
        <v>74</v>
      </c>
      <c r="S618" t="s">
        <v>74</v>
      </c>
      <c r="T618" t="s">
        <v>10372</v>
      </c>
      <c r="U618" t="s">
        <v>10373</v>
      </c>
      <c r="V618" t="s">
        <v>10374</v>
      </c>
      <c r="W618" t="s">
        <v>10375</v>
      </c>
      <c r="X618" t="s">
        <v>5009</v>
      </c>
      <c r="Y618" t="s">
        <v>10376</v>
      </c>
      <c r="Z618" t="s">
        <v>10377</v>
      </c>
      <c r="AA618" t="s">
        <v>74</v>
      </c>
      <c r="AB618" t="s">
        <v>74</v>
      </c>
      <c r="AC618" t="s">
        <v>74</v>
      </c>
      <c r="AD618" t="s">
        <v>74</v>
      </c>
      <c r="AE618" t="s">
        <v>74</v>
      </c>
      <c r="AF618" t="s">
        <v>74</v>
      </c>
      <c r="AG618">
        <v>19</v>
      </c>
      <c r="AH618">
        <v>37</v>
      </c>
      <c r="AI618">
        <v>44</v>
      </c>
      <c r="AJ618">
        <v>0</v>
      </c>
      <c r="AK618">
        <v>9</v>
      </c>
      <c r="AL618" t="s">
        <v>10378</v>
      </c>
      <c r="AM618" t="s">
        <v>10379</v>
      </c>
      <c r="AN618" t="s">
        <v>10380</v>
      </c>
      <c r="AO618" t="s">
        <v>10381</v>
      </c>
      <c r="AP618" t="s">
        <v>10382</v>
      </c>
      <c r="AQ618" t="s">
        <v>74</v>
      </c>
      <c r="AR618" t="s">
        <v>10383</v>
      </c>
      <c r="AS618" t="s">
        <v>10384</v>
      </c>
      <c r="AT618" t="s">
        <v>9266</v>
      </c>
      <c r="AU618">
        <v>2007</v>
      </c>
      <c r="AV618">
        <v>45</v>
      </c>
      <c r="AW618">
        <v>6</v>
      </c>
      <c r="AX618" t="s">
        <v>74</v>
      </c>
      <c r="AY618" t="s">
        <v>74</v>
      </c>
      <c r="AZ618" t="s">
        <v>74</v>
      </c>
      <c r="BA618" t="s">
        <v>74</v>
      </c>
      <c r="BB618">
        <v>510</v>
      </c>
      <c r="BC618">
        <v>514</v>
      </c>
      <c r="BD618" t="s">
        <v>74</v>
      </c>
      <c r="BE618" t="s">
        <v>74</v>
      </c>
      <c r="BF618" t="s">
        <v>74</v>
      </c>
      <c r="BG618" t="s">
        <v>74</v>
      </c>
      <c r="BH618" t="s">
        <v>74</v>
      </c>
      <c r="BI618">
        <v>5</v>
      </c>
      <c r="BJ618" t="s">
        <v>4198</v>
      </c>
      <c r="BK618" t="s">
        <v>97</v>
      </c>
      <c r="BL618" t="s">
        <v>4198</v>
      </c>
      <c r="BM618" t="s">
        <v>10385</v>
      </c>
      <c r="BN618">
        <v>18176533</v>
      </c>
      <c r="BO618" t="s">
        <v>74</v>
      </c>
      <c r="BP618" t="s">
        <v>74</v>
      </c>
      <c r="BQ618" t="s">
        <v>74</v>
      </c>
      <c r="BR618" t="s">
        <v>100</v>
      </c>
      <c r="BS618" t="s">
        <v>10386</v>
      </c>
      <c r="BT618" t="str">
        <f>HYPERLINK("https%3A%2F%2Fwww.webofscience.com%2Fwos%2Fwoscc%2Ffull-record%2FWOS:000252058900006","View Full Record in Web of Science")</f>
        <v>View Full Record in Web of Science</v>
      </c>
    </row>
    <row r="619" spans="1:72" x14ac:dyDescent="0.15">
      <c r="A619" t="s">
        <v>72</v>
      </c>
      <c r="B619" t="s">
        <v>10387</v>
      </c>
      <c r="C619" t="s">
        <v>74</v>
      </c>
      <c r="D619" t="s">
        <v>74</v>
      </c>
      <c r="E619" t="s">
        <v>74</v>
      </c>
      <c r="F619" t="s">
        <v>10388</v>
      </c>
      <c r="G619" t="s">
        <v>74</v>
      </c>
      <c r="H619" t="s">
        <v>74</v>
      </c>
      <c r="I619" t="s">
        <v>10389</v>
      </c>
      <c r="J619" t="s">
        <v>10390</v>
      </c>
      <c r="K619" t="s">
        <v>74</v>
      </c>
      <c r="L619" t="s">
        <v>74</v>
      </c>
      <c r="M619" t="s">
        <v>78</v>
      </c>
      <c r="N619" t="s">
        <v>79</v>
      </c>
      <c r="O619" t="s">
        <v>74</v>
      </c>
      <c r="P619" t="s">
        <v>74</v>
      </c>
      <c r="Q619" t="s">
        <v>74</v>
      </c>
      <c r="R619" t="s">
        <v>74</v>
      </c>
      <c r="S619" t="s">
        <v>74</v>
      </c>
      <c r="T619" t="s">
        <v>74</v>
      </c>
      <c r="U619" t="s">
        <v>10391</v>
      </c>
      <c r="V619" t="s">
        <v>10392</v>
      </c>
      <c r="W619" t="s">
        <v>10393</v>
      </c>
      <c r="X619" t="s">
        <v>10394</v>
      </c>
      <c r="Y619" t="s">
        <v>10395</v>
      </c>
      <c r="Z619" t="s">
        <v>10396</v>
      </c>
      <c r="AA619" t="s">
        <v>6101</v>
      </c>
      <c r="AB619" t="s">
        <v>6102</v>
      </c>
      <c r="AC619" t="s">
        <v>74</v>
      </c>
      <c r="AD619" t="s">
        <v>74</v>
      </c>
      <c r="AE619" t="s">
        <v>74</v>
      </c>
      <c r="AF619" t="s">
        <v>74</v>
      </c>
      <c r="AG619">
        <v>25</v>
      </c>
      <c r="AH619">
        <v>37</v>
      </c>
      <c r="AI619">
        <v>42</v>
      </c>
      <c r="AJ619">
        <v>1</v>
      </c>
      <c r="AK619">
        <v>6</v>
      </c>
      <c r="AL619" t="s">
        <v>462</v>
      </c>
      <c r="AM619" t="s">
        <v>194</v>
      </c>
      <c r="AN619" t="s">
        <v>463</v>
      </c>
      <c r="AO619" t="s">
        <v>10397</v>
      </c>
      <c r="AP619" t="s">
        <v>10398</v>
      </c>
      <c r="AQ619" t="s">
        <v>74</v>
      </c>
      <c r="AR619" t="s">
        <v>10399</v>
      </c>
      <c r="AS619" t="s">
        <v>10400</v>
      </c>
      <c r="AT619" t="s">
        <v>9266</v>
      </c>
      <c r="AU619">
        <v>2007</v>
      </c>
      <c r="AV619">
        <v>70</v>
      </c>
      <c r="AW619">
        <v>12</v>
      </c>
      <c r="AX619" t="s">
        <v>74</v>
      </c>
      <c r="AY619" t="s">
        <v>74</v>
      </c>
      <c r="AZ619" t="s">
        <v>74</v>
      </c>
      <c r="BA619" t="s">
        <v>74</v>
      </c>
      <c r="BB619">
        <v>1859</v>
      </c>
      <c r="BC619">
        <v>1864</v>
      </c>
      <c r="BD619" t="s">
        <v>74</v>
      </c>
      <c r="BE619" t="s">
        <v>10401</v>
      </c>
      <c r="BF619" t="str">
        <f>HYPERLINK("http://dx.doi.org/10.1021/np0702739","http://dx.doi.org/10.1021/np0702739")</f>
        <v>http://dx.doi.org/10.1021/np0702739</v>
      </c>
      <c r="BG619" t="s">
        <v>74</v>
      </c>
      <c r="BH619" t="s">
        <v>74</v>
      </c>
      <c r="BI619">
        <v>6</v>
      </c>
      <c r="BJ619" t="s">
        <v>10402</v>
      </c>
      <c r="BK619" t="s">
        <v>5213</v>
      </c>
      <c r="BL619" t="s">
        <v>10403</v>
      </c>
      <c r="BM619" t="s">
        <v>10404</v>
      </c>
      <c r="BN619">
        <v>18039009</v>
      </c>
      <c r="BO619" t="s">
        <v>74</v>
      </c>
      <c r="BP619" t="s">
        <v>74</v>
      </c>
      <c r="BQ619" t="s">
        <v>74</v>
      </c>
      <c r="BR619" t="s">
        <v>100</v>
      </c>
      <c r="BS619" t="s">
        <v>10405</v>
      </c>
      <c r="BT619" t="str">
        <f>HYPERLINK("https%3A%2F%2Fwww.webofscience.com%2Fwos%2Fwoscc%2Ffull-record%2FWOS:000252046700005","View Full Record in Web of Science")</f>
        <v>View Full Record in Web of Science</v>
      </c>
    </row>
    <row r="620" spans="1:72" x14ac:dyDescent="0.15">
      <c r="A620" t="s">
        <v>72</v>
      </c>
      <c r="B620" t="s">
        <v>10406</v>
      </c>
      <c r="C620" t="s">
        <v>74</v>
      </c>
      <c r="D620" t="s">
        <v>74</v>
      </c>
      <c r="E620" t="s">
        <v>74</v>
      </c>
      <c r="F620" t="s">
        <v>10407</v>
      </c>
      <c r="G620" t="s">
        <v>74</v>
      </c>
      <c r="H620" t="s">
        <v>74</v>
      </c>
      <c r="I620" t="s">
        <v>10408</v>
      </c>
      <c r="J620" t="s">
        <v>10409</v>
      </c>
      <c r="K620" t="s">
        <v>74</v>
      </c>
      <c r="L620" t="s">
        <v>74</v>
      </c>
      <c r="M620" t="s">
        <v>78</v>
      </c>
      <c r="N620" t="s">
        <v>79</v>
      </c>
      <c r="O620" t="s">
        <v>74</v>
      </c>
      <c r="P620" t="s">
        <v>74</v>
      </c>
      <c r="Q620" t="s">
        <v>74</v>
      </c>
      <c r="R620" t="s">
        <v>74</v>
      </c>
      <c r="S620" t="s">
        <v>74</v>
      </c>
      <c r="T620" t="s">
        <v>10410</v>
      </c>
      <c r="U620" t="s">
        <v>10411</v>
      </c>
      <c r="V620" t="s">
        <v>10412</v>
      </c>
      <c r="W620" t="s">
        <v>10413</v>
      </c>
      <c r="X620" t="s">
        <v>10414</v>
      </c>
      <c r="Y620" t="s">
        <v>10415</v>
      </c>
      <c r="Z620" t="s">
        <v>10416</v>
      </c>
      <c r="AA620" t="s">
        <v>10417</v>
      </c>
      <c r="AB620" t="s">
        <v>10418</v>
      </c>
      <c r="AC620" t="s">
        <v>74</v>
      </c>
      <c r="AD620" t="s">
        <v>74</v>
      </c>
      <c r="AE620" t="s">
        <v>74</v>
      </c>
      <c r="AF620" t="s">
        <v>74</v>
      </c>
      <c r="AG620">
        <v>61</v>
      </c>
      <c r="AH620">
        <v>96</v>
      </c>
      <c r="AI620">
        <v>102</v>
      </c>
      <c r="AJ620">
        <v>1</v>
      </c>
      <c r="AK620">
        <v>21</v>
      </c>
      <c r="AL620" t="s">
        <v>1265</v>
      </c>
      <c r="AM620" t="s">
        <v>1317</v>
      </c>
      <c r="AN620" t="s">
        <v>2701</v>
      </c>
      <c r="AO620" t="s">
        <v>10419</v>
      </c>
      <c r="AP620" t="s">
        <v>10420</v>
      </c>
      <c r="AQ620" t="s">
        <v>74</v>
      </c>
      <c r="AR620" t="s">
        <v>10421</v>
      </c>
      <c r="AS620" t="s">
        <v>10422</v>
      </c>
      <c r="AT620" t="s">
        <v>9266</v>
      </c>
      <c r="AU620">
        <v>2007</v>
      </c>
      <c r="AV620">
        <v>63</v>
      </c>
      <c r="AW620">
        <v>6</v>
      </c>
      <c r="AX620" t="s">
        <v>74</v>
      </c>
      <c r="AY620" t="s">
        <v>74</v>
      </c>
      <c r="AZ620" t="s">
        <v>74</v>
      </c>
      <c r="BA620" t="s">
        <v>74</v>
      </c>
      <c r="BB620">
        <v>1009</v>
      </c>
      <c r="BC620">
        <v>1020</v>
      </c>
      <c r="BD620" t="s">
        <v>74</v>
      </c>
      <c r="BE620" t="s">
        <v>10423</v>
      </c>
      <c r="BF620" t="str">
        <f>HYPERLINK("http://dx.doi.org/10.1007/s10872-007-0084-8","http://dx.doi.org/10.1007/s10872-007-0084-8")</f>
        <v>http://dx.doi.org/10.1007/s10872-007-0084-8</v>
      </c>
      <c r="BG620" t="s">
        <v>74</v>
      </c>
      <c r="BH620" t="s">
        <v>74</v>
      </c>
      <c r="BI620">
        <v>12</v>
      </c>
      <c r="BJ620" t="s">
        <v>630</v>
      </c>
      <c r="BK620" t="s">
        <v>97</v>
      </c>
      <c r="BL620" t="s">
        <v>630</v>
      </c>
      <c r="BM620" t="s">
        <v>10424</v>
      </c>
      <c r="BN620" t="s">
        <v>74</v>
      </c>
      <c r="BO620" t="s">
        <v>74</v>
      </c>
      <c r="BP620" t="s">
        <v>74</v>
      </c>
      <c r="BQ620" t="s">
        <v>74</v>
      </c>
      <c r="BR620" t="s">
        <v>100</v>
      </c>
      <c r="BS620" t="s">
        <v>10425</v>
      </c>
      <c r="BT620" t="str">
        <f>HYPERLINK("https%3A%2F%2Fwww.webofscience.com%2Fwos%2Fwoscc%2Ffull-record%2FWOS:000250451500010","View Full Record in Web of Science")</f>
        <v>View Full Record in Web of Science</v>
      </c>
    </row>
    <row r="621" spans="1:72" x14ac:dyDescent="0.15">
      <c r="A621" t="s">
        <v>72</v>
      </c>
      <c r="B621" t="s">
        <v>10426</v>
      </c>
      <c r="C621" t="s">
        <v>74</v>
      </c>
      <c r="D621" t="s">
        <v>74</v>
      </c>
      <c r="E621" t="s">
        <v>74</v>
      </c>
      <c r="F621" t="s">
        <v>10427</v>
      </c>
      <c r="G621" t="s">
        <v>74</v>
      </c>
      <c r="H621" t="s">
        <v>74</v>
      </c>
      <c r="I621" t="s">
        <v>10428</v>
      </c>
      <c r="J621" t="s">
        <v>10429</v>
      </c>
      <c r="K621" t="s">
        <v>74</v>
      </c>
      <c r="L621" t="s">
        <v>74</v>
      </c>
      <c r="M621" t="s">
        <v>78</v>
      </c>
      <c r="N621" t="s">
        <v>79</v>
      </c>
      <c r="O621" t="s">
        <v>74</v>
      </c>
      <c r="P621" t="s">
        <v>74</v>
      </c>
      <c r="Q621" t="s">
        <v>74</v>
      </c>
      <c r="R621" t="s">
        <v>74</v>
      </c>
      <c r="S621" t="s">
        <v>74</v>
      </c>
      <c r="T621" t="s">
        <v>10430</v>
      </c>
      <c r="U621" t="s">
        <v>10431</v>
      </c>
      <c r="V621" t="s">
        <v>10432</v>
      </c>
      <c r="W621" t="s">
        <v>10433</v>
      </c>
      <c r="X621" t="s">
        <v>1707</v>
      </c>
      <c r="Y621" t="s">
        <v>10434</v>
      </c>
      <c r="Z621" t="s">
        <v>74</v>
      </c>
      <c r="AA621" t="s">
        <v>74</v>
      </c>
      <c r="AB621" t="s">
        <v>74</v>
      </c>
      <c r="AC621" t="s">
        <v>74</v>
      </c>
      <c r="AD621" t="s">
        <v>74</v>
      </c>
      <c r="AE621" t="s">
        <v>74</v>
      </c>
      <c r="AF621" t="s">
        <v>74</v>
      </c>
      <c r="AG621">
        <v>43</v>
      </c>
      <c r="AH621">
        <v>12</v>
      </c>
      <c r="AI621">
        <v>14</v>
      </c>
      <c r="AJ621">
        <v>0</v>
      </c>
      <c r="AK621">
        <v>18</v>
      </c>
      <c r="AL621" t="s">
        <v>1265</v>
      </c>
      <c r="AM621" t="s">
        <v>662</v>
      </c>
      <c r="AN621" t="s">
        <v>7409</v>
      </c>
      <c r="AO621" t="s">
        <v>10435</v>
      </c>
      <c r="AP621" t="s">
        <v>74</v>
      </c>
      <c r="AQ621" t="s">
        <v>74</v>
      </c>
      <c r="AR621" t="s">
        <v>10436</v>
      </c>
      <c r="AS621" t="s">
        <v>10437</v>
      </c>
      <c r="AT621" t="s">
        <v>9266</v>
      </c>
      <c r="AU621">
        <v>2007</v>
      </c>
      <c r="AV621">
        <v>148</v>
      </c>
      <c r="AW621" t="s">
        <v>74</v>
      </c>
      <c r="AX621" t="s">
        <v>74</v>
      </c>
      <c r="AY621">
        <v>2</v>
      </c>
      <c r="AZ621" t="s">
        <v>74</v>
      </c>
      <c r="BA621" t="s">
        <v>74</v>
      </c>
      <c r="BB621" t="s">
        <v>10438</v>
      </c>
      <c r="BC621" t="s">
        <v>10439</v>
      </c>
      <c r="BD621" t="s">
        <v>74</v>
      </c>
      <c r="BE621" t="s">
        <v>10440</v>
      </c>
      <c r="BF621" t="str">
        <f>HYPERLINK("http://dx.doi.org/10.1007/s10336-007-0204-7","http://dx.doi.org/10.1007/s10336-007-0204-7")</f>
        <v>http://dx.doi.org/10.1007/s10336-007-0204-7</v>
      </c>
      <c r="BG621" t="s">
        <v>74</v>
      </c>
      <c r="BH621" t="s">
        <v>74</v>
      </c>
      <c r="BI621">
        <v>9</v>
      </c>
      <c r="BJ621" t="s">
        <v>4824</v>
      </c>
      <c r="BK621" t="s">
        <v>97</v>
      </c>
      <c r="BL621" t="s">
        <v>4825</v>
      </c>
      <c r="BM621" t="s">
        <v>10441</v>
      </c>
      <c r="BN621" t="s">
        <v>74</v>
      </c>
      <c r="BO621" t="s">
        <v>74</v>
      </c>
      <c r="BP621" t="s">
        <v>74</v>
      </c>
      <c r="BQ621" t="s">
        <v>74</v>
      </c>
      <c r="BR621" t="s">
        <v>100</v>
      </c>
      <c r="BS621" t="s">
        <v>10442</v>
      </c>
      <c r="BT621" t="str">
        <f>HYPERLINK("https%3A%2F%2Fwww.webofscience.com%2Fwos%2Fwoscc%2Ffull-record%2FWOS:000255199000031","View Full Record in Web of Science")</f>
        <v>View Full Record in Web of Science</v>
      </c>
    </row>
    <row r="622" spans="1:72" x14ac:dyDescent="0.15">
      <c r="A622" t="s">
        <v>72</v>
      </c>
      <c r="B622" t="s">
        <v>10443</v>
      </c>
      <c r="C622" t="s">
        <v>74</v>
      </c>
      <c r="D622" t="s">
        <v>74</v>
      </c>
      <c r="E622" t="s">
        <v>74</v>
      </c>
      <c r="F622" t="s">
        <v>10444</v>
      </c>
      <c r="G622" t="s">
        <v>74</v>
      </c>
      <c r="H622" t="s">
        <v>74</v>
      </c>
      <c r="I622" t="s">
        <v>10445</v>
      </c>
      <c r="J622" t="s">
        <v>10446</v>
      </c>
      <c r="K622" t="s">
        <v>74</v>
      </c>
      <c r="L622" t="s">
        <v>74</v>
      </c>
      <c r="M622" t="s">
        <v>78</v>
      </c>
      <c r="N622" t="s">
        <v>52</v>
      </c>
      <c r="O622" t="s">
        <v>74</v>
      </c>
      <c r="P622" t="s">
        <v>74</v>
      </c>
      <c r="Q622" t="s">
        <v>74</v>
      </c>
      <c r="R622" t="s">
        <v>74</v>
      </c>
      <c r="S622" t="s">
        <v>74</v>
      </c>
      <c r="T622" t="s">
        <v>74</v>
      </c>
      <c r="U622" t="s">
        <v>74</v>
      </c>
      <c r="V622" t="s">
        <v>74</v>
      </c>
      <c r="W622" t="s">
        <v>10447</v>
      </c>
      <c r="X622" t="s">
        <v>10448</v>
      </c>
      <c r="Y622" t="s">
        <v>74</v>
      </c>
      <c r="Z622" t="s">
        <v>74</v>
      </c>
      <c r="AA622" t="s">
        <v>74</v>
      </c>
      <c r="AB622" t="s">
        <v>74</v>
      </c>
      <c r="AC622" t="s">
        <v>74</v>
      </c>
      <c r="AD622" t="s">
        <v>74</v>
      </c>
      <c r="AE622" t="s">
        <v>74</v>
      </c>
      <c r="AF622" t="s">
        <v>74</v>
      </c>
      <c r="AG622">
        <v>0</v>
      </c>
      <c r="AH622">
        <v>0</v>
      </c>
      <c r="AI622">
        <v>0</v>
      </c>
      <c r="AJ622">
        <v>0</v>
      </c>
      <c r="AK622">
        <v>2</v>
      </c>
      <c r="AL622" t="s">
        <v>6640</v>
      </c>
      <c r="AM622" t="s">
        <v>522</v>
      </c>
      <c r="AN622" t="s">
        <v>6641</v>
      </c>
      <c r="AO622" t="s">
        <v>10449</v>
      </c>
      <c r="AP622" t="s">
        <v>74</v>
      </c>
      <c r="AQ622" t="s">
        <v>74</v>
      </c>
      <c r="AR622" t="s">
        <v>10450</v>
      </c>
      <c r="AS622" t="s">
        <v>10451</v>
      </c>
      <c r="AT622" t="s">
        <v>9266</v>
      </c>
      <c r="AU622">
        <v>2007</v>
      </c>
      <c r="AV622">
        <v>43</v>
      </c>
      <c r="AW622" t="s">
        <v>74</v>
      </c>
      <c r="AX622" t="s">
        <v>74</v>
      </c>
      <c r="AY622">
        <v>1</v>
      </c>
      <c r="AZ622" t="s">
        <v>74</v>
      </c>
      <c r="BA622">
        <v>114</v>
      </c>
      <c r="BB622">
        <v>35</v>
      </c>
      <c r="BC622">
        <v>36</v>
      </c>
      <c r="BD622" t="s">
        <v>74</v>
      </c>
      <c r="BE622" t="s">
        <v>74</v>
      </c>
      <c r="BF622" t="s">
        <v>74</v>
      </c>
      <c r="BG622" t="s">
        <v>74</v>
      </c>
      <c r="BH622" t="s">
        <v>74</v>
      </c>
      <c r="BI622">
        <v>2</v>
      </c>
      <c r="BJ622" t="s">
        <v>4090</v>
      </c>
      <c r="BK622" t="s">
        <v>97</v>
      </c>
      <c r="BL622" t="s">
        <v>4090</v>
      </c>
      <c r="BM622" t="s">
        <v>10452</v>
      </c>
      <c r="BN622" t="s">
        <v>74</v>
      </c>
      <c r="BO622" t="s">
        <v>74</v>
      </c>
      <c r="BP622" t="s">
        <v>74</v>
      </c>
      <c r="BQ622" t="s">
        <v>74</v>
      </c>
      <c r="BR622" t="s">
        <v>100</v>
      </c>
      <c r="BS622" t="s">
        <v>10453</v>
      </c>
      <c r="BT622" t="str">
        <f>HYPERLINK("https%3A%2F%2Fwww.webofscience.com%2Fwos%2Fwoscc%2Ffull-record%2FWOS:000253474200115","View Full Record in Web of Science")</f>
        <v>View Full Record in Web of Science</v>
      </c>
    </row>
    <row r="623" spans="1:72" x14ac:dyDescent="0.15">
      <c r="A623" t="s">
        <v>72</v>
      </c>
      <c r="B623" t="s">
        <v>10454</v>
      </c>
      <c r="C623" t="s">
        <v>74</v>
      </c>
      <c r="D623" t="s">
        <v>74</v>
      </c>
      <c r="E623" t="s">
        <v>74</v>
      </c>
      <c r="F623" t="s">
        <v>10455</v>
      </c>
      <c r="G623" t="s">
        <v>74</v>
      </c>
      <c r="H623" t="s">
        <v>74</v>
      </c>
      <c r="I623" t="s">
        <v>10456</v>
      </c>
      <c r="J623" t="s">
        <v>10446</v>
      </c>
      <c r="K623" t="s">
        <v>74</v>
      </c>
      <c r="L623" t="s">
        <v>74</v>
      </c>
      <c r="M623" t="s">
        <v>78</v>
      </c>
      <c r="N623" t="s">
        <v>52</v>
      </c>
      <c r="O623" t="s">
        <v>74</v>
      </c>
      <c r="P623" t="s">
        <v>74</v>
      </c>
      <c r="Q623" t="s">
        <v>74</v>
      </c>
      <c r="R623" t="s">
        <v>74</v>
      </c>
      <c r="S623" t="s">
        <v>74</v>
      </c>
      <c r="T623" t="s">
        <v>74</v>
      </c>
      <c r="U623" t="s">
        <v>74</v>
      </c>
      <c r="V623" t="s">
        <v>74</v>
      </c>
      <c r="W623" t="s">
        <v>10457</v>
      </c>
      <c r="X623" t="s">
        <v>6098</v>
      </c>
      <c r="Y623" t="s">
        <v>74</v>
      </c>
      <c r="Z623" t="s">
        <v>74</v>
      </c>
      <c r="AA623" t="s">
        <v>6101</v>
      </c>
      <c r="AB623" t="s">
        <v>74</v>
      </c>
      <c r="AC623" t="s">
        <v>74</v>
      </c>
      <c r="AD623" t="s">
        <v>74</v>
      </c>
      <c r="AE623" t="s">
        <v>74</v>
      </c>
      <c r="AF623" t="s">
        <v>74</v>
      </c>
      <c r="AG623">
        <v>0</v>
      </c>
      <c r="AH623">
        <v>0</v>
      </c>
      <c r="AI623">
        <v>0</v>
      </c>
      <c r="AJ623">
        <v>0</v>
      </c>
      <c r="AK623">
        <v>4</v>
      </c>
      <c r="AL623" t="s">
        <v>6640</v>
      </c>
      <c r="AM623" t="s">
        <v>522</v>
      </c>
      <c r="AN623" t="s">
        <v>6641</v>
      </c>
      <c r="AO623" t="s">
        <v>10449</v>
      </c>
      <c r="AP623" t="s">
        <v>74</v>
      </c>
      <c r="AQ623" t="s">
        <v>74</v>
      </c>
      <c r="AR623" t="s">
        <v>10450</v>
      </c>
      <c r="AS623" t="s">
        <v>10451</v>
      </c>
      <c r="AT623" t="s">
        <v>9266</v>
      </c>
      <c r="AU623">
        <v>2007</v>
      </c>
      <c r="AV623">
        <v>43</v>
      </c>
      <c r="AW623" t="s">
        <v>74</v>
      </c>
      <c r="AX623" t="s">
        <v>74</v>
      </c>
      <c r="AY623">
        <v>1</v>
      </c>
      <c r="AZ623" t="s">
        <v>74</v>
      </c>
      <c r="BA623">
        <v>115</v>
      </c>
      <c r="BB623">
        <v>36</v>
      </c>
      <c r="BC623">
        <v>36</v>
      </c>
      <c r="BD623" t="s">
        <v>74</v>
      </c>
      <c r="BE623" t="s">
        <v>74</v>
      </c>
      <c r="BF623" t="s">
        <v>74</v>
      </c>
      <c r="BG623" t="s">
        <v>74</v>
      </c>
      <c r="BH623" t="s">
        <v>74</v>
      </c>
      <c r="BI623">
        <v>1</v>
      </c>
      <c r="BJ623" t="s">
        <v>4090</v>
      </c>
      <c r="BK623" t="s">
        <v>97</v>
      </c>
      <c r="BL623" t="s">
        <v>4090</v>
      </c>
      <c r="BM623" t="s">
        <v>10452</v>
      </c>
      <c r="BN623" t="s">
        <v>74</v>
      </c>
      <c r="BO623" t="s">
        <v>74</v>
      </c>
      <c r="BP623" t="s">
        <v>74</v>
      </c>
      <c r="BQ623" t="s">
        <v>74</v>
      </c>
      <c r="BR623" t="s">
        <v>100</v>
      </c>
      <c r="BS623" t="s">
        <v>10458</v>
      </c>
      <c r="BT623" t="str">
        <f>HYPERLINK("https%3A%2F%2Fwww.webofscience.com%2Fwos%2Fwoscc%2Ffull-record%2FWOS:000253474200116","View Full Record in Web of Science")</f>
        <v>View Full Record in Web of Science</v>
      </c>
    </row>
    <row r="624" spans="1:72" x14ac:dyDescent="0.15">
      <c r="A624" t="s">
        <v>72</v>
      </c>
      <c r="B624" t="s">
        <v>10459</v>
      </c>
      <c r="C624" t="s">
        <v>74</v>
      </c>
      <c r="D624" t="s">
        <v>74</v>
      </c>
      <c r="E624" t="s">
        <v>74</v>
      </c>
      <c r="F624" t="s">
        <v>10460</v>
      </c>
      <c r="G624" t="s">
        <v>74</v>
      </c>
      <c r="H624" t="s">
        <v>74</v>
      </c>
      <c r="I624" t="s">
        <v>10461</v>
      </c>
      <c r="J624" t="s">
        <v>10446</v>
      </c>
      <c r="K624" t="s">
        <v>74</v>
      </c>
      <c r="L624" t="s">
        <v>74</v>
      </c>
      <c r="M624" t="s">
        <v>78</v>
      </c>
      <c r="N624" t="s">
        <v>52</v>
      </c>
      <c r="O624" t="s">
        <v>74</v>
      </c>
      <c r="P624" t="s">
        <v>74</v>
      </c>
      <c r="Q624" t="s">
        <v>74</v>
      </c>
      <c r="R624" t="s">
        <v>74</v>
      </c>
      <c r="S624" t="s">
        <v>74</v>
      </c>
      <c r="T624" t="s">
        <v>74</v>
      </c>
      <c r="U624" t="s">
        <v>74</v>
      </c>
      <c r="V624" t="s">
        <v>74</v>
      </c>
      <c r="W624" t="s">
        <v>10462</v>
      </c>
      <c r="X624" t="s">
        <v>6098</v>
      </c>
      <c r="Y624" t="s">
        <v>74</v>
      </c>
      <c r="Z624" t="s">
        <v>74</v>
      </c>
      <c r="AA624" t="s">
        <v>6101</v>
      </c>
      <c r="AB624" t="s">
        <v>74</v>
      </c>
      <c r="AC624" t="s">
        <v>74</v>
      </c>
      <c r="AD624" t="s">
        <v>74</v>
      </c>
      <c r="AE624" t="s">
        <v>74</v>
      </c>
      <c r="AF624" t="s">
        <v>74</v>
      </c>
      <c r="AG624">
        <v>0</v>
      </c>
      <c r="AH624">
        <v>0</v>
      </c>
      <c r="AI624">
        <v>0</v>
      </c>
      <c r="AJ624">
        <v>0</v>
      </c>
      <c r="AK624">
        <v>3</v>
      </c>
      <c r="AL624" t="s">
        <v>6640</v>
      </c>
      <c r="AM624" t="s">
        <v>522</v>
      </c>
      <c r="AN624" t="s">
        <v>6641</v>
      </c>
      <c r="AO624" t="s">
        <v>10449</v>
      </c>
      <c r="AP624" t="s">
        <v>74</v>
      </c>
      <c r="AQ624" t="s">
        <v>74</v>
      </c>
      <c r="AR624" t="s">
        <v>10450</v>
      </c>
      <c r="AS624" t="s">
        <v>10451</v>
      </c>
      <c r="AT624" t="s">
        <v>9266</v>
      </c>
      <c r="AU624">
        <v>2007</v>
      </c>
      <c r="AV624">
        <v>43</v>
      </c>
      <c r="AW624" t="s">
        <v>74</v>
      </c>
      <c r="AX624" t="s">
        <v>74</v>
      </c>
      <c r="AY624">
        <v>1</v>
      </c>
      <c r="AZ624" t="s">
        <v>74</v>
      </c>
      <c r="BA624">
        <v>118</v>
      </c>
      <c r="BB624">
        <v>37</v>
      </c>
      <c r="BC624">
        <v>37</v>
      </c>
      <c r="BD624" t="s">
        <v>74</v>
      </c>
      <c r="BE624" t="s">
        <v>74</v>
      </c>
      <c r="BF624" t="s">
        <v>74</v>
      </c>
      <c r="BG624" t="s">
        <v>74</v>
      </c>
      <c r="BH624" t="s">
        <v>74</v>
      </c>
      <c r="BI624">
        <v>1</v>
      </c>
      <c r="BJ624" t="s">
        <v>4090</v>
      </c>
      <c r="BK624" t="s">
        <v>97</v>
      </c>
      <c r="BL624" t="s">
        <v>4090</v>
      </c>
      <c r="BM624" t="s">
        <v>10452</v>
      </c>
      <c r="BN624" t="s">
        <v>74</v>
      </c>
      <c r="BO624" t="s">
        <v>74</v>
      </c>
      <c r="BP624" t="s">
        <v>74</v>
      </c>
      <c r="BQ624" t="s">
        <v>74</v>
      </c>
      <c r="BR624" t="s">
        <v>100</v>
      </c>
      <c r="BS624" t="s">
        <v>10463</v>
      </c>
      <c r="BT624" t="str">
        <f>HYPERLINK("https%3A%2F%2Fwww.webofscience.com%2Fwos%2Fwoscc%2Ffull-record%2FWOS:000253474200119","View Full Record in Web of Science")</f>
        <v>View Full Record in Web of Science</v>
      </c>
    </row>
    <row r="625" spans="1:72" x14ac:dyDescent="0.15">
      <c r="A625" t="s">
        <v>72</v>
      </c>
      <c r="B625" t="s">
        <v>10464</v>
      </c>
      <c r="C625" t="s">
        <v>74</v>
      </c>
      <c r="D625" t="s">
        <v>74</v>
      </c>
      <c r="E625" t="s">
        <v>74</v>
      </c>
      <c r="F625" t="s">
        <v>10465</v>
      </c>
      <c r="G625" t="s">
        <v>74</v>
      </c>
      <c r="H625" t="s">
        <v>74</v>
      </c>
      <c r="I625" t="s">
        <v>10466</v>
      </c>
      <c r="J625" t="s">
        <v>10446</v>
      </c>
      <c r="K625" t="s">
        <v>74</v>
      </c>
      <c r="L625" t="s">
        <v>74</v>
      </c>
      <c r="M625" t="s">
        <v>78</v>
      </c>
      <c r="N625" t="s">
        <v>52</v>
      </c>
      <c r="O625" t="s">
        <v>74</v>
      </c>
      <c r="P625" t="s">
        <v>74</v>
      </c>
      <c r="Q625" t="s">
        <v>74</v>
      </c>
      <c r="R625" t="s">
        <v>74</v>
      </c>
      <c r="S625" t="s">
        <v>74</v>
      </c>
      <c r="T625" t="s">
        <v>74</v>
      </c>
      <c r="U625" t="s">
        <v>74</v>
      </c>
      <c r="V625" t="s">
        <v>74</v>
      </c>
      <c r="W625" t="s">
        <v>10467</v>
      </c>
      <c r="X625" t="s">
        <v>6098</v>
      </c>
      <c r="Y625" t="s">
        <v>74</v>
      </c>
      <c r="Z625" t="s">
        <v>74</v>
      </c>
      <c r="AA625" t="s">
        <v>6101</v>
      </c>
      <c r="AB625" t="s">
        <v>74</v>
      </c>
      <c r="AC625" t="s">
        <v>74</v>
      </c>
      <c r="AD625" t="s">
        <v>74</v>
      </c>
      <c r="AE625" t="s">
        <v>74</v>
      </c>
      <c r="AF625" t="s">
        <v>74</v>
      </c>
      <c r="AG625">
        <v>0</v>
      </c>
      <c r="AH625">
        <v>0</v>
      </c>
      <c r="AI625">
        <v>0</v>
      </c>
      <c r="AJ625">
        <v>0</v>
      </c>
      <c r="AK625">
        <v>1</v>
      </c>
      <c r="AL625" t="s">
        <v>6640</v>
      </c>
      <c r="AM625" t="s">
        <v>522</v>
      </c>
      <c r="AN625" t="s">
        <v>6641</v>
      </c>
      <c r="AO625" t="s">
        <v>10449</v>
      </c>
      <c r="AP625" t="s">
        <v>74</v>
      </c>
      <c r="AQ625" t="s">
        <v>74</v>
      </c>
      <c r="AR625" t="s">
        <v>10450</v>
      </c>
      <c r="AS625" t="s">
        <v>10451</v>
      </c>
      <c r="AT625" t="s">
        <v>9266</v>
      </c>
      <c r="AU625">
        <v>2007</v>
      </c>
      <c r="AV625">
        <v>43</v>
      </c>
      <c r="AW625" t="s">
        <v>74</v>
      </c>
      <c r="AX625" t="s">
        <v>74</v>
      </c>
      <c r="AY625">
        <v>1</v>
      </c>
      <c r="AZ625" t="s">
        <v>74</v>
      </c>
      <c r="BA625">
        <v>203</v>
      </c>
      <c r="BB625">
        <v>63</v>
      </c>
      <c r="BC625">
        <v>63</v>
      </c>
      <c r="BD625" t="s">
        <v>74</v>
      </c>
      <c r="BE625" t="s">
        <v>74</v>
      </c>
      <c r="BF625" t="s">
        <v>74</v>
      </c>
      <c r="BG625" t="s">
        <v>74</v>
      </c>
      <c r="BH625" t="s">
        <v>74</v>
      </c>
      <c r="BI625">
        <v>1</v>
      </c>
      <c r="BJ625" t="s">
        <v>4090</v>
      </c>
      <c r="BK625" t="s">
        <v>97</v>
      </c>
      <c r="BL625" t="s">
        <v>4090</v>
      </c>
      <c r="BM625" t="s">
        <v>10452</v>
      </c>
      <c r="BN625" t="s">
        <v>74</v>
      </c>
      <c r="BO625" t="s">
        <v>74</v>
      </c>
      <c r="BP625" t="s">
        <v>74</v>
      </c>
      <c r="BQ625" t="s">
        <v>74</v>
      </c>
      <c r="BR625" t="s">
        <v>100</v>
      </c>
      <c r="BS625" t="s">
        <v>10468</v>
      </c>
      <c r="BT625" t="str">
        <f>HYPERLINK("https%3A%2F%2Fwww.webofscience.com%2Fwos%2Fwoscc%2Ffull-record%2FWOS:000253474200204","View Full Record in Web of Science")</f>
        <v>View Full Record in Web of Science</v>
      </c>
    </row>
    <row r="626" spans="1:72" x14ac:dyDescent="0.15">
      <c r="A626" t="s">
        <v>72</v>
      </c>
      <c r="B626" t="s">
        <v>10469</v>
      </c>
      <c r="C626" t="s">
        <v>74</v>
      </c>
      <c r="D626" t="s">
        <v>74</v>
      </c>
      <c r="E626" t="s">
        <v>74</v>
      </c>
      <c r="F626" t="s">
        <v>10470</v>
      </c>
      <c r="G626" t="s">
        <v>74</v>
      </c>
      <c r="H626" t="s">
        <v>74</v>
      </c>
      <c r="I626" t="s">
        <v>10471</v>
      </c>
      <c r="J626" t="s">
        <v>10472</v>
      </c>
      <c r="K626" t="s">
        <v>74</v>
      </c>
      <c r="L626" t="s">
        <v>74</v>
      </c>
      <c r="M626" t="s">
        <v>78</v>
      </c>
      <c r="N626" t="s">
        <v>79</v>
      </c>
      <c r="O626" t="s">
        <v>74</v>
      </c>
      <c r="P626" t="s">
        <v>74</v>
      </c>
      <c r="Q626" t="s">
        <v>74</v>
      </c>
      <c r="R626" t="s">
        <v>74</v>
      </c>
      <c r="S626" t="s">
        <v>74</v>
      </c>
      <c r="T626" t="s">
        <v>10473</v>
      </c>
      <c r="U626" t="s">
        <v>10474</v>
      </c>
      <c r="V626" t="s">
        <v>10475</v>
      </c>
      <c r="W626" t="s">
        <v>10476</v>
      </c>
      <c r="X626" t="s">
        <v>10477</v>
      </c>
      <c r="Y626" t="s">
        <v>10478</v>
      </c>
      <c r="Z626" t="s">
        <v>10479</v>
      </c>
      <c r="AA626" t="s">
        <v>10480</v>
      </c>
      <c r="AB626" t="s">
        <v>10481</v>
      </c>
      <c r="AC626" t="s">
        <v>74</v>
      </c>
      <c r="AD626" t="s">
        <v>74</v>
      </c>
      <c r="AE626" t="s">
        <v>74</v>
      </c>
      <c r="AF626" t="s">
        <v>74</v>
      </c>
      <c r="AG626">
        <v>33</v>
      </c>
      <c r="AH626">
        <v>3</v>
      </c>
      <c r="AI626">
        <v>4</v>
      </c>
      <c r="AJ626">
        <v>0</v>
      </c>
      <c r="AK626">
        <v>5</v>
      </c>
      <c r="AL626" t="s">
        <v>10482</v>
      </c>
      <c r="AM626" t="s">
        <v>10483</v>
      </c>
      <c r="AN626" t="s">
        <v>10484</v>
      </c>
      <c r="AO626" t="s">
        <v>10485</v>
      </c>
      <c r="AP626" t="s">
        <v>74</v>
      </c>
      <c r="AQ626" t="s">
        <v>74</v>
      </c>
      <c r="AR626" t="s">
        <v>10486</v>
      </c>
      <c r="AS626" t="s">
        <v>10487</v>
      </c>
      <c r="AT626" t="s">
        <v>9266</v>
      </c>
      <c r="AU626">
        <v>2007</v>
      </c>
      <c r="AV626">
        <v>53</v>
      </c>
      <c r="AW626">
        <v>6</v>
      </c>
      <c r="AX626" t="s">
        <v>74</v>
      </c>
      <c r="AY626" t="s">
        <v>74</v>
      </c>
      <c r="AZ626" t="s">
        <v>74</v>
      </c>
      <c r="BA626" t="s">
        <v>74</v>
      </c>
      <c r="BB626">
        <v>1265</v>
      </c>
      <c r="BC626">
        <v>1272</v>
      </c>
      <c r="BD626" t="s">
        <v>74</v>
      </c>
      <c r="BE626" t="s">
        <v>10488</v>
      </c>
      <c r="BF626" t="str">
        <f>HYPERLINK("http://dx.doi.org/10.1262/jrd.19057","http://dx.doi.org/10.1262/jrd.19057")</f>
        <v>http://dx.doi.org/10.1262/jrd.19057</v>
      </c>
      <c r="BG626" t="s">
        <v>74</v>
      </c>
      <c r="BH626" t="s">
        <v>74</v>
      </c>
      <c r="BI626">
        <v>8</v>
      </c>
      <c r="BJ626" t="s">
        <v>10489</v>
      </c>
      <c r="BK626" t="s">
        <v>97</v>
      </c>
      <c r="BL626" t="s">
        <v>10490</v>
      </c>
      <c r="BM626" t="s">
        <v>10491</v>
      </c>
      <c r="BN626">
        <v>17965544</v>
      </c>
      <c r="BO626" t="s">
        <v>1581</v>
      </c>
      <c r="BP626" t="s">
        <v>74</v>
      </c>
      <c r="BQ626" t="s">
        <v>74</v>
      </c>
      <c r="BR626" t="s">
        <v>100</v>
      </c>
      <c r="BS626" t="s">
        <v>10492</v>
      </c>
      <c r="BT626" t="str">
        <f>HYPERLINK("https%3A%2F%2Fwww.webofscience.com%2Fwos%2Fwoscc%2Ffull-record%2FWOS:000252291500014","View Full Record in Web of Science")</f>
        <v>View Full Record in Web of Science</v>
      </c>
    </row>
    <row r="627" spans="1:72" x14ac:dyDescent="0.15">
      <c r="A627" t="s">
        <v>72</v>
      </c>
      <c r="B627" t="s">
        <v>10493</v>
      </c>
      <c r="C627" t="s">
        <v>74</v>
      </c>
      <c r="D627" t="s">
        <v>74</v>
      </c>
      <c r="E627" t="s">
        <v>74</v>
      </c>
      <c r="F627" t="s">
        <v>10494</v>
      </c>
      <c r="G627" t="s">
        <v>74</v>
      </c>
      <c r="H627" t="s">
        <v>74</v>
      </c>
      <c r="I627" t="s">
        <v>10495</v>
      </c>
      <c r="J627" t="s">
        <v>10496</v>
      </c>
      <c r="K627" t="s">
        <v>74</v>
      </c>
      <c r="L627" t="s">
        <v>74</v>
      </c>
      <c r="M627" t="s">
        <v>78</v>
      </c>
      <c r="N627" t="s">
        <v>79</v>
      </c>
      <c r="O627" t="s">
        <v>74</v>
      </c>
      <c r="P627" t="s">
        <v>74</v>
      </c>
      <c r="Q627" t="s">
        <v>74</v>
      </c>
      <c r="R627" t="s">
        <v>74</v>
      </c>
      <c r="S627" t="s">
        <v>74</v>
      </c>
      <c r="T627" t="s">
        <v>74</v>
      </c>
      <c r="U627" t="s">
        <v>10497</v>
      </c>
      <c r="V627" t="s">
        <v>10498</v>
      </c>
      <c r="W627" t="s">
        <v>10499</v>
      </c>
      <c r="X627" t="s">
        <v>10500</v>
      </c>
      <c r="Y627" t="s">
        <v>10501</v>
      </c>
      <c r="Z627" t="s">
        <v>10502</v>
      </c>
      <c r="AA627" t="s">
        <v>74</v>
      </c>
      <c r="AB627" t="s">
        <v>10503</v>
      </c>
      <c r="AC627" t="s">
        <v>74</v>
      </c>
      <c r="AD627" t="s">
        <v>74</v>
      </c>
      <c r="AE627" t="s">
        <v>74</v>
      </c>
      <c r="AF627" t="s">
        <v>74</v>
      </c>
      <c r="AG627">
        <v>82</v>
      </c>
      <c r="AH627">
        <v>135</v>
      </c>
      <c r="AI627">
        <v>153</v>
      </c>
      <c r="AJ627">
        <v>0</v>
      </c>
      <c r="AK627">
        <v>35</v>
      </c>
      <c r="AL627" t="s">
        <v>10504</v>
      </c>
      <c r="AM627" t="s">
        <v>6877</v>
      </c>
      <c r="AN627" t="s">
        <v>10505</v>
      </c>
      <c r="AO627" t="s">
        <v>10506</v>
      </c>
      <c r="AP627" t="s">
        <v>10507</v>
      </c>
      <c r="AQ627" t="s">
        <v>74</v>
      </c>
      <c r="AR627" t="s">
        <v>10508</v>
      </c>
      <c r="AS627" t="s">
        <v>10509</v>
      </c>
      <c r="AT627" t="s">
        <v>9266</v>
      </c>
      <c r="AU627">
        <v>2007</v>
      </c>
      <c r="AV627">
        <v>122</v>
      </c>
      <c r="AW627">
        <v>6</v>
      </c>
      <c r="AX627" t="s">
        <v>74</v>
      </c>
      <c r="AY627" t="s">
        <v>74</v>
      </c>
      <c r="AZ627" t="s">
        <v>74</v>
      </c>
      <c r="BA627" t="s">
        <v>74</v>
      </c>
      <c r="BB627">
        <v>3304</v>
      </c>
      <c r="BC627">
        <v>3326</v>
      </c>
      <c r="BD627" t="s">
        <v>74</v>
      </c>
      <c r="BE627" t="s">
        <v>10510</v>
      </c>
      <c r="BF627" t="str">
        <f>HYPERLINK("http://dx.doi.org/10.1121/1.2793613","http://dx.doi.org/10.1121/1.2793613")</f>
        <v>http://dx.doi.org/10.1121/1.2793613</v>
      </c>
      <c r="BG627" t="s">
        <v>74</v>
      </c>
      <c r="BH627" t="s">
        <v>74</v>
      </c>
      <c r="BI627">
        <v>23</v>
      </c>
      <c r="BJ627" t="s">
        <v>10511</v>
      </c>
      <c r="BK627" t="s">
        <v>97</v>
      </c>
      <c r="BL627" t="s">
        <v>10511</v>
      </c>
      <c r="BM627" t="s">
        <v>10512</v>
      </c>
      <c r="BN627">
        <v>18247742</v>
      </c>
      <c r="BO627" t="s">
        <v>3777</v>
      </c>
      <c r="BP627" t="s">
        <v>74</v>
      </c>
      <c r="BQ627" t="s">
        <v>74</v>
      </c>
      <c r="BR627" t="s">
        <v>100</v>
      </c>
      <c r="BS627" t="s">
        <v>10513</v>
      </c>
      <c r="BT627" t="str">
        <f>HYPERLINK("https%3A%2F%2Fwww.webofscience.com%2Fwos%2Fwoscc%2Ffull-record%2FWOS:000251650700016","View Full Record in Web of Science")</f>
        <v>View Full Record in Web of Science</v>
      </c>
    </row>
    <row r="628" spans="1:72" x14ac:dyDescent="0.15">
      <c r="A628" t="s">
        <v>72</v>
      </c>
      <c r="B628" t="s">
        <v>10514</v>
      </c>
      <c r="C628" t="s">
        <v>74</v>
      </c>
      <c r="D628" t="s">
        <v>74</v>
      </c>
      <c r="E628" t="s">
        <v>74</v>
      </c>
      <c r="F628" t="s">
        <v>10515</v>
      </c>
      <c r="G628" t="s">
        <v>74</v>
      </c>
      <c r="H628" t="s">
        <v>74</v>
      </c>
      <c r="I628" t="s">
        <v>10516</v>
      </c>
      <c r="J628" t="s">
        <v>10517</v>
      </c>
      <c r="K628" t="s">
        <v>74</v>
      </c>
      <c r="L628" t="s">
        <v>74</v>
      </c>
      <c r="M628" t="s">
        <v>10518</v>
      </c>
      <c r="N628" t="s">
        <v>79</v>
      </c>
      <c r="O628" t="s">
        <v>74</v>
      </c>
      <c r="P628" t="s">
        <v>74</v>
      </c>
      <c r="Q628" t="s">
        <v>74</v>
      </c>
      <c r="R628" t="s">
        <v>74</v>
      </c>
      <c r="S628" t="s">
        <v>74</v>
      </c>
      <c r="T628" t="s">
        <v>10519</v>
      </c>
      <c r="U628" t="s">
        <v>74</v>
      </c>
      <c r="V628" t="s">
        <v>10520</v>
      </c>
      <c r="W628" t="s">
        <v>10521</v>
      </c>
      <c r="X628" t="s">
        <v>10522</v>
      </c>
      <c r="Y628" t="s">
        <v>10523</v>
      </c>
      <c r="Z628" t="s">
        <v>10524</v>
      </c>
      <c r="AA628" t="s">
        <v>74</v>
      </c>
      <c r="AB628" t="s">
        <v>74</v>
      </c>
      <c r="AC628" t="s">
        <v>74</v>
      </c>
      <c r="AD628" t="s">
        <v>74</v>
      </c>
      <c r="AE628" t="s">
        <v>74</v>
      </c>
      <c r="AF628" t="s">
        <v>74</v>
      </c>
      <c r="AG628">
        <v>14</v>
      </c>
      <c r="AH628">
        <v>0</v>
      </c>
      <c r="AI628">
        <v>0</v>
      </c>
      <c r="AJ628">
        <v>0</v>
      </c>
      <c r="AK628">
        <v>0</v>
      </c>
      <c r="AL628" t="s">
        <v>10525</v>
      </c>
      <c r="AM628" t="s">
        <v>10379</v>
      </c>
      <c r="AN628" t="s">
        <v>10526</v>
      </c>
      <c r="AO628" t="s">
        <v>10527</v>
      </c>
      <c r="AP628" t="s">
        <v>10528</v>
      </c>
      <c r="AQ628" t="s">
        <v>74</v>
      </c>
      <c r="AR628" t="s">
        <v>10529</v>
      </c>
      <c r="AS628" t="s">
        <v>10530</v>
      </c>
      <c r="AT628" t="s">
        <v>9266</v>
      </c>
      <c r="AU628">
        <v>2007</v>
      </c>
      <c r="AV628">
        <v>43</v>
      </c>
      <c r="AW628">
        <v>4</v>
      </c>
      <c r="AX628" t="s">
        <v>74</v>
      </c>
      <c r="AY628" t="s">
        <v>74</v>
      </c>
      <c r="AZ628" t="s">
        <v>74</v>
      </c>
      <c r="BA628" t="s">
        <v>74</v>
      </c>
      <c r="BB628">
        <v>427</v>
      </c>
      <c r="BC628">
        <v>436</v>
      </c>
      <c r="BD628" t="s">
        <v>74</v>
      </c>
      <c r="BE628" t="s">
        <v>74</v>
      </c>
      <c r="BF628" t="s">
        <v>74</v>
      </c>
      <c r="BG628" t="s">
        <v>74</v>
      </c>
      <c r="BH628" t="s">
        <v>74</v>
      </c>
      <c r="BI628">
        <v>10</v>
      </c>
      <c r="BJ628" t="s">
        <v>96</v>
      </c>
      <c r="BK628" t="s">
        <v>2166</v>
      </c>
      <c r="BL628" t="s">
        <v>98</v>
      </c>
      <c r="BM628" t="s">
        <v>10531</v>
      </c>
      <c r="BN628" t="s">
        <v>74</v>
      </c>
      <c r="BO628" t="s">
        <v>74</v>
      </c>
      <c r="BP628" t="s">
        <v>74</v>
      </c>
      <c r="BQ628" t="s">
        <v>74</v>
      </c>
      <c r="BR628" t="s">
        <v>100</v>
      </c>
      <c r="BS628" t="s">
        <v>10532</v>
      </c>
      <c r="BT628" t="str">
        <f>HYPERLINK("https%3A%2F%2Fwww.webofscience.com%2Fwos%2Fwoscc%2Ffull-record%2FWOS:000453965100004","View Full Record in Web of Science")</f>
        <v>View Full Record in Web of Science</v>
      </c>
    </row>
    <row r="629" spans="1:72" x14ac:dyDescent="0.15">
      <c r="A629" t="s">
        <v>72</v>
      </c>
      <c r="B629" t="s">
        <v>10533</v>
      </c>
      <c r="C629" t="s">
        <v>74</v>
      </c>
      <c r="D629" t="s">
        <v>74</v>
      </c>
      <c r="E629" t="s">
        <v>74</v>
      </c>
      <c r="F629" t="s">
        <v>10534</v>
      </c>
      <c r="G629" t="s">
        <v>74</v>
      </c>
      <c r="H629" t="s">
        <v>74</v>
      </c>
      <c r="I629" t="s">
        <v>10535</v>
      </c>
      <c r="J629" t="s">
        <v>10536</v>
      </c>
      <c r="K629" t="s">
        <v>74</v>
      </c>
      <c r="L629" t="s">
        <v>74</v>
      </c>
      <c r="M629" t="s">
        <v>78</v>
      </c>
      <c r="N629" t="s">
        <v>79</v>
      </c>
      <c r="O629" t="s">
        <v>74</v>
      </c>
      <c r="P629" t="s">
        <v>74</v>
      </c>
      <c r="Q629" t="s">
        <v>74</v>
      </c>
      <c r="R629" t="s">
        <v>74</v>
      </c>
      <c r="S629" t="s">
        <v>74</v>
      </c>
      <c r="T629" t="s">
        <v>74</v>
      </c>
      <c r="U629" t="s">
        <v>10537</v>
      </c>
      <c r="V629" t="s">
        <v>10538</v>
      </c>
      <c r="W629" t="s">
        <v>10539</v>
      </c>
      <c r="X629" t="s">
        <v>10540</v>
      </c>
      <c r="Y629" t="s">
        <v>10541</v>
      </c>
      <c r="Z629" t="s">
        <v>10542</v>
      </c>
      <c r="AA629" t="s">
        <v>74</v>
      </c>
      <c r="AB629" t="s">
        <v>74</v>
      </c>
      <c r="AC629" t="s">
        <v>74</v>
      </c>
      <c r="AD629" t="s">
        <v>74</v>
      </c>
      <c r="AE629" t="s">
        <v>74</v>
      </c>
      <c r="AF629" t="s">
        <v>74</v>
      </c>
      <c r="AG629">
        <v>25</v>
      </c>
      <c r="AH629">
        <v>11</v>
      </c>
      <c r="AI629">
        <v>11</v>
      </c>
      <c r="AJ629">
        <v>0</v>
      </c>
      <c r="AK629">
        <v>6</v>
      </c>
      <c r="AL629" t="s">
        <v>2556</v>
      </c>
      <c r="AM629" t="s">
        <v>662</v>
      </c>
      <c r="AN629" t="s">
        <v>4911</v>
      </c>
      <c r="AO629" t="s">
        <v>10543</v>
      </c>
      <c r="AP629" t="s">
        <v>10544</v>
      </c>
      <c r="AQ629" t="s">
        <v>74</v>
      </c>
      <c r="AR629" t="s">
        <v>10545</v>
      </c>
      <c r="AS629" t="s">
        <v>10546</v>
      </c>
      <c r="AT629" t="s">
        <v>9266</v>
      </c>
      <c r="AU629">
        <v>2007</v>
      </c>
      <c r="AV629">
        <v>87</v>
      </c>
      <c r="AW629">
        <v>6</v>
      </c>
      <c r="AX629" t="s">
        <v>74</v>
      </c>
      <c r="AY629" t="s">
        <v>74</v>
      </c>
      <c r="AZ629" t="s">
        <v>74</v>
      </c>
      <c r="BA629" t="s">
        <v>74</v>
      </c>
      <c r="BB629">
        <v>1395</v>
      </c>
      <c r="BC629">
        <v>1401</v>
      </c>
      <c r="BD629" t="s">
        <v>74</v>
      </c>
      <c r="BE629" t="s">
        <v>10547</v>
      </c>
      <c r="BF629" t="str">
        <f>HYPERLINK("http://dx.doi.org/10.1017/S0025315407058134","http://dx.doi.org/10.1017/S0025315407058134")</f>
        <v>http://dx.doi.org/10.1017/S0025315407058134</v>
      </c>
      <c r="BG629" t="s">
        <v>74</v>
      </c>
      <c r="BH629" t="s">
        <v>74</v>
      </c>
      <c r="BI629">
        <v>7</v>
      </c>
      <c r="BJ629" t="s">
        <v>2015</v>
      </c>
      <c r="BK629" t="s">
        <v>97</v>
      </c>
      <c r="BL629" t="s">
        <v>2015</v>
      </c>
      <c r="BM629" t="s">
        <v>10548</v>
      </c>
      <c r="BN629" t="s">
        <v>74</v>
      </c>
      <c r="BO629" t="s">
        <v>74</v>
      </c>
      <c r="BP629" t="s">
        <v>74</v>
      </c>
      <c r="BQ629" t="s">
        <v>74</v>
      </c>
      <c r="BR629" t="s">
        <v>100</v>
      </c>
      <c r="BS629" t="s">
        <v>10549</v>
      </c>
      <c r="BT629" t="str">
        <f>HYPERLINK("https%3A%2F%2Fwww.webofscience.com%2Fwos%2Fwoscc%2Ffull-record%2FWOS:000252475100007","View Full Record in Web of Science")</f>
        <v>View Full Record in Web of Science</v>
      </c>
    </row>
    <row r="630" spans="1:72" x14ac:dyDescent="0.15">
      <c r="A630" t="s">
        <v>72</v>
      </c>
      <c r="B630" t="s">
        <v>10550</v>
      </c>
      <c r="C630" t="s">
        <v>74</v>
      </c>
      <c r="D630" t="s">
        <v>74</v>
      </c>
      <c r="E630" t="s">
        <v>74</v>
      </c>
      <c r="F630" t="s">
        <v>10551</v>
      </c>
      <c r="G630" t="s">
        <v>74</v>
      </c>
      <c r="H630" t="s">
        <v>74</v>
      </c>
      <c r="I630" t="s">
        <v>10552</v>
      </c>
      <c r="J630" t="s">
        <v>10536</v>
      </c>
      <c r="K630" t="s">
        <v>74</v>
      </c>
      <c r="L630" t="s">
        <v>74</v>
      </c>
      <c r="M630" t="s">
        <v>78</v>
      </c>
      <c r="N630" t="s">
        <v>79</v>
      </c>
      <c r="O630" t="s">
        <v>74</v>
      </c>
      <c r="P630" t="s">
        <v>74</v>
      </c>
      <c r="Q630" t="s">
        <v>74</v>
      </c>
      <c r="R630" t="s">
        <v>74</v>
      </c>
      <c r="S630" t="s">
        <v>74</v>
      </c>
      <c r="T630" t="s">
        <v>74</v>
      </c>
      <c r="U630" t="s">
        <v>74</v>
      </c>
      <c r="V630" t="s">
        <v>10553</v>
      </c>
      <c r="W630" t="s">
        <v>10554</v>
      </c>
      <c r="X630" t="s">
        <v>10555</v>
      </c>
      <c r="Y630" t="s">
        <v>10556</v>
      </c>
      <c r="Z630" t="s">
        <v>10557</v>
      </c>
      <c r="AA630" t="s">
        <v>10558</v>
      </c>
      <c r="AB630" t="s">
        <v>10559</v>
      </c>
      <c r="AC630" t="s">
        <v>74</v>
      </c>
      <c r="AD630" t="s">
        <v>74</v>
      </c>
      <c r="AE630" t="s">
        <v>74</v>
      </c>
      <c r="AF630" t="s">
        <v>74</v>
      </c>
      <c r="AG630">
        <v>19</v>
      </c>
      <c r="AH630">
        <v>10</v>
      </c>
      <c r="AI630">
        <v>10</v>
      </c>
      <c r="AJ630">
        <v>0</v>
      </c>
      <c r="AK630">
        <v>10</v>
      </c>
      <c r="AL630" t="s">
        <v>2556</v>
      </c>
      <c r="AM630" t="s">
        <v>662</v>
      </c>
      <c r="AN630" t="s">
        <v>4911</v>
      </c>
      <c r="AO630" t="s">
        <v>10543</v>
      </c>
      <c r="AP630" t="s">
        <v>10544</v>
      </c>
      <c r="AQ630" t="s">
        <v>74</v>
      </c>
      <c r="AR630" t="s">
        <v>10545</v>
      </c>
      <c r="AS630" t="s">
        <v>10546</v>
      </c>
      <c r="AT630" t="s">
        <v>9266</v>
      </c>
      <c r="AU630">
        <v>2007</v>
      </c>
      <c r="AV630">
        <v>87</v>
      </c>
      <c r="AW630">
        <v>6</v>
      </c>
      <c r="AX630" t="s">
        <v>74</v>
      </c>
      <c r="AY630" t="s">
        <v>74</v>
      </c>
      <c r="AZ630" t="s">
        <v>74</v>
      </c>
      <c r="BA630" t="s">
        <v>74</v>
      </c>
      <c r="BB630">
        <v>1485</v>
      </c>
      <c r="BC630">
        <v>1490</v>
      </c>
      <c r="BD630" t="s">
        <v>74</v>
      </c>
      <c r="BE630" t="s">
        <v>10560</v>
      </c>
      <c r="BF630" t="str">
        <f>HYPERLINK("http://dx.doi.org/10.1017/S0025315407058079","http://dx.doi.org/10.1017/S0025315407058079")</f>
        <v>http://dx.doi.org/10.1017/S0025315407058079</v>
      </c>
      <c r="BG630" t="s">
        <v>74</v>
      </c>
      <c r="BH630" t="s">
        <v>74</v>
      </c>
      <c r="BI630">
        <v>6</v>
      </c>
      <c r="BJ630" t="s">
        <v>2015</v>
      </c>
      <c r="BK630" t="s">
        <v>97</v>
      </c>
      <c r="BL630" t="s">
        <v>2015</v>
      </c>
      <c r="BM630" t="s">
        <v>10548</v>
      </c>
      <c r="BN630" t="s">
        <v>74</v>
      </c>
      <c r="BO630" t="s">
        <v>74</v>
      </c>
      <c r="BP630" t="s">
        <v>74</v>
      </c>
      <c r="BQ630" t="s">
        <v>74</v>
      </c>
      <c r="BR630" t="s">
        <v>100</v>
      </c>
      <c r="BS630" t="s">
        <v>10561</v>
      </c>
      <c r="BT630" t="str">
        <f>HYPERLINK("https%3A%2F%2Fwww.webofscience.com%2Fwos%2Fwoscc%2Ffull-record%2FWOS:000252475100013","View Full Record in Web of Science")</f>
        <v>View Full Record in Web of Science</v>
      </c>
    </row>
    <row r="631" spans="1:72" x14ac:dyDescent="0.15">
      <c r="A631" t="s">
        <v>72</v>
      </c>
      <c r="B631" t="s">
        <v>10562</v>
      </c>
      <c r="C631" t="s">
        <v>74</v>
      </c>
      <c r="D631" t="s">
        <v>74</v>
      </c>
      <c r="E631" t="s">
        <v>74</v>
      </c>
      <c r="F631" t="s">
        <v>10563</v>
      </c>
      <c r="G631" t="s">
        <v>74</v>
      </c>
      <c r="H631" t="s">
        <v>74</v>
      </c>
      <c r="I631" t="s">
        <v>10564</v>
      </c>
      <c r="J631" t="s">
        <v>10565</v>
      </c>
      <c r="K631" t="s">
        <v>74</v>
      </c>
      <c r="L631" t="s">
        <v>74</v>
      </c>
      <c r="M631" t="s">
        <v>78</v>
      </c>
      <c r="N631" t="s">
        <v>79</v>
      </c>
      <c r="O631" t="s">
        <v>74</v>
      </c>
      <c r="P631" t="s">
        <v>74</v>
      </c>
      <c r="Q631" t="s">
        <v>74</v>
      </c>
      <c r="R631" t="s">
        <v>74</v>
      </c>
      <c r="S631" t="s">
        <v>74</v>
      </c>
      <c r="T631" t="s">
        <v>10566</v>
      </c>
      <c r="U631" t="s">
        <v>10567</v>
      </c>
      <c r="V631" t="s">
        <v>10568</v>
      </c>
      <c r="W631" t="s">
        <v>10569</v>
      </c>
      <c r="X631" t="s">
        <v>10570</v>
      </c>
      <c r="Y631" t="s">
        <v>10571</v>
      </c>
      <c r="Z631" t="s">
        <v>10572</v>
      </c>
      <c r="AA631" t="s">
        <v>10573</v>
      </c>
      <c r="AB631" t="s">
        <v>10574</v>
      </c>
      <c r="AC631" t="s">
        <v>74</v>
      </c>
      <c r="AD631" t="s">
        <v>74</v>
      </c>
      <c r="AE631" t="s">
        <v>74</v>
      </c>
      <c r="AF631" t="s">
        <v>74</v>
      </c>
      <c r="AG631">
        <v>68</v>
      </c>
      <c r="AH631">
        <v>54</v>
      </c>
      <c r="AI631">
        <v>61</v>
      </c>
      <c r="AJ631">
        <v>4</v>
      </c>
      <c r="AK631">
        <v>56</v>
      </c>
      <c r="AL631" t="s">
        <v>1219</v>
      </c>
      <c r="AM631" t="s">
        <v>89</v>
      </c>
      <c r="AN631" t="s">
        <v>90</v>
      </c>
      <c r="AO631" t="s">
        <v>10575</v>
      </c>
      <c r="AP631" t="s">
        <v>10576</v>
      </c>
      <c r="AQ631" t="s">
        <v>74</v>
      </c>
      <c r="AR631" t="s">
        <v>10565</v>
      </c>
      <c r="AS631" t="s">
        <v>10577</v>
      </c>
      <c r="AT631" t="s">
        <v>9266</v>
      </c>
      <c r="AU631">
        <v>2007</v>
      </c>
      <c r="AV631">
        <v>40</v>
      </c>
      <c r="AW631">
        <v>4</v>
      </c>
      <c r="AX631" t="s">
        <v>74</v>
      </c>
      <c r="AY631" t="s">
        <v>74</v>
      </c>
      <c r="AZ631" t="s">
        <v>74</v>
      </c>
      <c r="BA631" t="s">
        <v>74</v>
      </c>
      <c r="BB631">
        <v>335</v>
      </c>
      <c r="BC631">
        <v>343</v>
      </c>
      <c r="BD631" t="s">
        <v>74</v>
      </c>
      <c r="BE631" t="s">
        <v>10578</v>
      </c>
      <c r="BF631" t="str">
        <f>HYPERLINK("http://dx.doi.org/10.1111/j.1502-3931.2007.00032.x","http://dx.doi.org/10.1111/j.1502-3931.2007.00032.x")</f>
        <v>http://dx.doi.org/10.1111/j.1502-3931.2007.00032.x</v>
      </c>
      <c r="BG631" t="s">
        <v>74</v>
      </c>
      <c r="BH631" t="s">
        <v>74</v>
      </c>
      <c r="BI631">
        <v>9</v>
      </c>
      <c r="BJ631" t="s">
        <v>1426</v>
      </c>
      <c r="BK631" t="s">
        <v>97</v>
      </c>
      <c r="BL631" t="s">
        <v>1426</v>
      </c>
      <c r="BM631" t="s">
        <v>10579</v>
      </c>
      <c r="BN631" t="s">
        <v>74</v>
      </c>
      <c r="BO631" t="s">
        <v>74</v>
      </c>
      <c r="BP631" t="s">
        <v>74</v>
      </c>
      <c r="BQ631" t="s">
        <v>74</v>
      </c>
      <c r="BR631" t="s">
        <v>100</v>
      </c>
      <c r="BS631" t="s">
        <v>10580</v>
      </c>
      <c r="BT631" t="str">
        <f>HYPERLINK("https%3A%2F%2Fwww.webofscience.com%2Fwos%2Fwoscc%2Ffull-record%2FWOS:000250798100004","View Full Record in Web of Science")</f>
        <v>View Full Record in Web of Science</v>
      </c>
    </row>
    <row r="632" spans="1:72" x14ac:dyDescent="0.15">
      <c r="A632" t="s">
        <v>72</v>
      </c>
      <c r="B632" t="s">
        <v>10581</v>
      </c>
      <c r="C632" t="s">
        <v>74</v>
      </c>
      <c r="D632" t="s">
        <v>74</v>
      </c>
      <c r="E632" t="s">
        <v>74</v>
      </c>
      <c r="F632" t="s">
        <v>10582</v>
      </c>
      <c r="G632" t="s">
        <v>74</v>
      </c>
      <c r="H632" t="s">
        <v>74</v>
      </c>
      <c r="I632" t="s">
        <v>10583</v>
      </c>
      <c r="J632" t="s">
        <v>10584</v>
      </c>
      <c r="K632" t="s">
        <v>74</v>
      </c>
      <c r="L632" t="s">
        <v>74</v>
      </c>
      <c r="M632" t="s">
        <v>78</v>
      </c>
      <c r="N632" t="s">
        <v>79</v>
      </c>
      <c r="O632" t="s">
        <v>74</v>
      </c>
      <c r="P632" t="s">
        <v>74</v>
      </c>
      <c r="Q632" t="s">
        <v>74</v>
      </c>
      <c r="R632" t="s">
        <v>74</v>
      </c>
      <c r="S632" t="s">
        <v>74</v>
      </c>
      <c r="T632" t="s">
        <v>74</v>
      </c>
      <c r="U632" t="s">
        <v>10585</v>
      </c>
      <c r="V632" t="s">
        <v>10586</v>
      </c>
      <c r="W632" t="s">
        <v>10587</v>
      </c>
      <c r="X632" t="s">
        <v>10588</v>
      </c>
      <c r="Y632" t="s">
        <v>10589</v>
      </c>
      <c r="Z632" t="s">
        <v>10590</v>
      </c>
      <c r="AA632" t="s">
        <v>10591</v>
      </c>
      <c r="AB632" t="s">
        <v>10592</v>
      </c>
      <c r="AC632" t="s">
        <v>74</v>
      </c>
      <c r="AD632" t="s">
        <v>74</v>
      </c>
      <c r="AE632" t="s">
        <v>74</v>
      </c>
      <c r="AF632" t="s">
        <v>74</v>
      </c>
      <c r="AG632">
        <v>43</v>
      </c>
      <c r="AH632">
        <v>129</v>
      </c>
      <c r="AI632">
        <v>134</v>
      </c>
      <c r="AJ632">
        <v>1</v>
      </c>
      <c r="AK632">
        <v>56</v>
      </c>
      <c r="AL632" t="s">
        <v>88</v>
      </c>
      <c r="AM632" t="s">
        <v>5051</v>
      </c>
      <c r="AN632" t="s">
        <v>5052</v>
      </c>
      <c r="AO632" t="s">
        <v>10593</v>
      </c>
      <c r="AP632" t="s">
        <v>74</v>
      </c>
      <c r="AQ632" t="s">
        <v>74</v>
      </c>
      <c r="AR632" t="s">
        <v>10594</v>
      </c>
      <c r="AS632" t="s">
        <v>10595</v>
      </c>
      <c r="AT632" t="s">
        <v>9266</v>
      </c>
      <c r="AU632">
        <v>2007</v>
      </c>
      <c r="AV632">
        <v>42</v>
      </c>
      <c r="AW632">
        <v>12</v>
      </c>
      <c r="AX632" t="s">
        <v>74</v>
      </c>
      <c r="AY632" t="s">
        <v>74</v>
      </c>
      <c r="AZ632" t="s">
        <v>74</v>
      </c>
      <c r="BA632" t="s">
        <v>74</v>
      </c>
      <c r="BB632">
        <v>2125</v>
      </c>
      <c r="BC632">
        <v>2136</v>
      </c>
      <c r="BD632" t="s">
        <v>74</v>
      </c>
      <c r="BE632" t="s">
        <v>10596</v>
      </c>
      <c r="BF632" t="str">
        <f>HYPERLINK("http://dx.doi.org/10.1111/j.1945-5100.2007.tb01013.x","http://dx.doi.org/10.1111/j.1945-5100.2007.tb01013.x")</f>
        <v>http://dx.doi.org/10.1111/j.1945-5100.2007.tb01013.x</v>
      </c>
      <c r="BG632" t="s">
        <v>74</v>
      </c>
      <c r="BH632" t="s">
        <v>74</v>
      </c>
      <c r="BI632">
        <v>12</v>
      </c>
      <c r="BJ632" t="s">
        <v>553</v>
      </c>
      <c r="BK632" t="s">
        <v>97</v>
      </c>
      <c r="BL632" t="s">
        <v>553</v>
      </c>
      <c r="BM632" t="s">
        <v>10597</v>
      </c>
      <c r="BN632" t="s">
        <v>74</v>
      </c>
      <c r="BO632" t="s">
        <v>1050</v>
      </c>
      <c r="BP632" t="s">
        <v>74</v>
      </c>
      <c r="BQ632" t="s">
        <v>74</v>
      </c>
      <c r="BR632" t="s">
        <v>100</v>
      </c>
      <c r="BS632" t="s">
        <v>10598</v>
      </c>
      <c r="BT632" t="str">
        <f>HYPERLINK("https%3A%2F%2Fwww.webofscience.com%2Fwos%2Fwoscc%2Ffull-record%2FWOS:000254941000009","View Full Record in Web of Science")</f>
        <v>View Full Record in Web of Science</v>
      </c>
    </row>
    <row r="633" spans="1:72" x14ac:dyDescent="0.15">
      <c r="A633" t="s">
        <v>72</v>
      </c>
      <c r="B633" t="s">
        <v>10599</v>
      </c>
      <c r="C633" t="s">
        <v>74</v>
      </c>
      <c r="D633" t="s">
        <v>74</v>
      </c>
      <c r="E633" t="s">
        <v>74</v>
      </c>
      <c r="F633" t="s">
        <v>10600</v>
      </c>
      <c r="G633" t="s">
        <v>74</v>
      </c>
      <c r="H633" t="s">
        <v>74</v>
      </c>
      <c r="I633" t="s">
        <v>10601</v>
      </c>
      <c r="J633" t="s">
        <v>10602</v>
      </c>
      <c r="K633" t="s">
        <v>74</v>
      </c>
      <c r="L633" t="s">
        <v>74</v>
      </c>
      <c r="M633" t="s">
        <v>78</v>
      </c>
      <c r="N633" t="s">
        <v>79</v>
      </c>
      <c r="O633" t="s">
        <v>74</v>
      </c>
      <c r="P633" t="s">
        <v>74</v>
      </c>
      <c r="Q633" t="s">
        <v>74</v>
      </c>
      <c r="R633" t="s">
        <v>74</v>
      </c>
      <c r="S633" t="s">
        <v>74</v>
      </c>
      <c r="T633" t="s">
        <v>10603</v>
      </c>
      <c r="U633" t="s">
        <v>10604</v>
      </c>
      <c r="V633" t="s">
        <v>10605</v>
      </c>
      <c r="W633" t="s">
        <v>10606</v>
      </c>
      <c r="X633" t="s">
        <v>10607</v>
      </c>
      <c r="Y633" t="s">
        <v>10608</v>
      </c>
      <c r="Z633" t="s">
        <v>10609</v>
      </c>
      <c r="AA633" t="s">
        <v>74</v>
      </c>
      <c r="AB633" t="s">
        <v>10610</v>
      </c>
      <c r="AC633" t="s">
        <v>74</v>
      </c>
      <c r="AD633" t="s">
        <v>74</v>
      </c>
      <c r="AE633" t="s">
        <v>74</v>
      </c>
      <c r="AF633" t="s">
        <v>74</v>
      </c>
      <c r="AG633">
        <v>40</v>
      </c>
      <c r="AH633">
        <v>11</v>
      </c>
      <c r="AI633">
        <v>15</v>
      </c>
      <c r="AJ633">
        <v>0</v>
      </c>
      <c r="AK633">
        <v>27</v>
      </c>
      <c r="AL633" t="s">
        <v>6640</v>
      </c>
      <c r="AM633" t="s">
        <v>522</v>
      </c>
      <c r="AN633" t="s">
        <v>6641</v>
      </c>
      <c r="AO633" t="s">
        <v>10611</v>
      </c>
      <c r="AP633" t="s">
        <v>74</v>
      </c>
      <c r="AQ633" t="s">
        <v>74</v>
      </c>
      <c r="AR633" t="s">
        <v>10612</v>
      </c>
      <c r="AS633" t="s">
        <v>10613</v>
      </c>
      <c r="AT633" t="s">
        <v>9266</v>
      </c>
      <c r="AU633">
        <v>2007</v>
      </c>
      <c r="AV633">
        <v>16</v>
      </c>
      <c r="AW633">
        <v>24</v>
      </c>
      <c r="AX633" t="s">
        <v>74</v>
      </c>
      <c r="AY633" t="s">
        <v>74</v>
      </c>
      <c r="AZ633" t="s">
        <v>74</v>
      </c>
      <c r="BA633" t="s">
        <v>74</v>
      </c>
      <c r="BB633">
        <v>5267</v>
      </c>
      <c r="BC633">
        <v>5276</v>
      </c>
      <c r="BD633" t="s">
        <v>74</v>
      </c>
      <c r="BE633" t="s">
        <v>10614</v>
      </c>
      <c r="BF633" t="str">
        <f>HYPERLINK("http://dx.doi.org/10.1111/j.1365-294X.2007.03586.x","http://dx.doi.org/10.1111/j.1365-294X.2007.03586.x")</f>
        <v>http://dx.doi.org/10.1111/j.1365-294X.2007.03586.x</v>
      </c>
      <c r="BG633" t="s">
        <v>74</v>
      </c>
      <c r="BH633" t="s">
        <v>74</v>
      </c>
      <c r="BI633">
        <v>10</v>
      </c>
      <c r="BJ633" t="s">
        <v>10615</v>
      </c>
      <c r="BK633" t="s">
        <v>97</v>
      </c>
      <c r="BL633" t="s">
        <v>10616</v>
      </c>
      <c r="BM633" t="s">
        <v>10617</v>
      </c>
      <c r="BN633">
        <v>18028306</v>
      </c>
      <c r="BO633" t="s">
        <v>179</v>
      </c>
      <c r="BP633" t="s">
        <v>74</v>
      </c>
      <c r="BQ633" t="s">
        <v>74</v>
      </c>
      <c r="BR633" t="s">
        <v>100</v>
      </c>
      <c r="BS633" t="s">
        <v>10618</v>
      </c>
      <c r="BT633" t="str">
        <f>HYPERLINK("https%3A%2F%2Fwww.webofscience.com%2Fwos%2Fwoscc%2Ffull-record%2FWOS:000251671700015","View Full Record in Web of Science")</f>
        <v>View Full Record in Web of Science</v>
      </c>
    </row>
    <row r="634" spans="1:72" x14ac:dyDescent="0.15">
      <c r="A634" t="s">
        <v>72</v>
      </c>
      <c r="B634" t="s">
        <v>10619</v>
      </c>
      <c r="C634" t="s">
        <v>74</v>
      </c>
      <c r="D634" t="s">
        <v>74</v>
      </c>
      <c r="E634" t="s">
        <v>74</v>
      </c>
      <c r="F634" t="s">
        <v>10620</v>
      </c>
      <c r="G634" t="s">
        <v>74</v>
      </c>
      <c r="H634" t="s">
        <v>74</v>
      </c>
      <c r="I634" t="s">
        <v>10621</v>
      </c>
      <c r="J634" t="s">
        <v>10622</v>
      </c>
      <c r="K634" t="s">
        <v>74</v>
      </c>
      <c r="L634" t="s">
        <v>74</v>
      </c>
      <c r="M634" t="s">
        <v>78</v>
      </c>
      <c r="N634" t="s">
        <v>79</v>
      </c>
      <c r="O634" t="s">
        <v>74</v>
      </c>
      <c r="P634" t="s">
        <v>74</v>
      </c>
      <c r="Q634" t="s">
        <v>74</v>
      </c>
      <c r="R634" t="s">
        <v>74</v>
      </c>
      <c r="S634" t="s">
        <v>74</v>
      </c>
      <c r="T634" t="s">
        <v>10623</v>
      </c>
      <c r="U634" t="s">
        <v>10624</v>
      </c>
      <c r="V634" t="s">
        <v>10625</v>
      </c>
      <c r="W634" t="s">
        <v>10626</v>
      </c>
      <c r="X634" t="s">
        <v>10627</v>
      </c>
      <c r="Y634" t="s">
        <v>10628</v>
      </c>
      <c r="Z634" t="s">
        <v>10629</v>
      </c>
      <c r="AA634" t="s">
        <v>10630</v>
      </c>
      <c r="AB634" t="s">
        <v>10631</v>
      </c>
      <c r="AC634" t="s">
        <v>74</v>
      </c>
      <c r="AD634" t="s">
        <v>74</v>
      </c>
      <c r="AE634" t="s">
        <v>74</v>
      </c>
      <c r="AF634" t="s">
        <v>74</v>
      </c>
      <c r="AG634">
        <v>26</v>
      </c>
      <c r="AH634">
        <v>2</v>
      </c>
      <c r="AI634">
        <v>2</v>
      </c>
      <c r="AJ634">
        <v>0</v>
      </c>
      <c r="AK634">
        <v>2</v>
      </c>
      <c r="AL634" t="s">
        <v>1240</v>
      </c>
      <c r="AM634" t="s">
        <v>1241</v>
      </c>
      <c r="AN634" t="s">
        <v>1242</v>
      </c>
      <c r="AO634" t="s">
        <v>10632</v>
      </c>
      <c r="AP634" t="s">
        <v>10633</v>
      </c>
      <c r="AQ634" t="s">
        <v>74</v>
      </c>
      <c r="AR634" t="s">
        <v>10634</v>
      </c>
      <c r="AS634" t="s">
        <v>10635</v>
      </c>
      <c r="AT634" t="s">
        <v>9266</v>
      </c>
      <c r="AU634">
        <v>2007</v>
      </c>
      <c r="AV634">
        <v>57</v>
      </c>
      <c r="AW634">
        <v>6</v>
      </c>
      <c r="AX634" t="s">
        <v>74</v>
      </c>
      <c r="AY634" t="s">
        <v>74</v>
      </c>
      <c r="AZ634" t="s">
        <v>74</v>
      </c>
      <c r="BA634" t="s">
        <v>74</v>
      </c>
      <c r="BB634">
        <v>511</v>
      </c>
      <c r="BC634">
        <v>530</v>
      </c>
      <c r="BD634" t="s">
        <v>74</v>
      </c>
      <c r="BE634" t="s">
        <v>10636</v>
      </c>
      <c r="BF634" t="str">
        <f>HYPERLINK("http://dx.doi.org/10.1007/s10236-007-0109-2","http://dx.doi.org/10.1007/s10236-007-0109-2")</f>
        <v>http://dx.doi.org/10.1007/s10236-007-0109-2</v>
      </c>
      <c r="BG634" t="s">
        <v>74</v>
      </c>
      <c r="BH634" t="s">
        <v>74</v>
      </c>
      <c r="BI634">
        <v>20</v>
      </c>
      <c r="BJ634" t="s">
        <v>630</v>
      </c>
      <c r="BK634" t="s">
        <v>97</v>
      </c>
      <c r="BL634" t="s">
        <v>630</v>
      </c>
      <c r="BM634" t="s">
        <v>10637</v>
      </c>
      <c r="BN634" t="s">
        <v>74</v>
      </c>
      <c r="BO634" t="s">
        <v>1050</v>
      </c>
      <c r="BP634" t="s">
        <v>74</v>
      </c>
      <c r="BQ634" t="s">
        <v>74</v>
      </c>
      <c r="BR634" t="s">
        <v>100</v>
      </c>
      <c r="BS634" t="s">
        <v>10638</v>
      </c>
      <c r="BT634" t="str">
        <f>HYPERLINK("https%3A%2F%2Fwww.webofscience.com%2Fwos%2Fwoscc%2Ffull-record%2FWOS:000251173800002","View Full Record in Web of Science")</f>
        <v>View Full Record in Web of Science</v>
      </c>
    </row>
    <row r="635" spans="1:72" x14ac:dyDescent="0.15">
      <c r="A635" t="s">
        <v>72</v>
      </c>
      <c r="B635" t="s">
        <v>10639</v>
      </c>
      <c r="C635" t="s">
        <v>74</v>
      </c>
      <c r="D635" t="s">
        <v>74</v>
      </c>
      <c r="E635" t="s">
        <v>74</v>
      </c>
      <c r="F635" t="s">
        <v>10640</v>
      </c>
      <c r="G635" t="s">
        <v>74</v>
      </c>
      <c r="H635" t="s">
        <v>74</v>
      </c>
      <c r="I635" t="s">
        <v>10641</v>
      </c>
      <c r="J635" t="s">
        <v>10622</v>
      </c>
      <c r="K635" t="s">
        <v>74</v>
      </c>
      <c r="L635" t="s">
        <v>74</v>
      </c>
      <c r="M635" t="s">
        <v>78</v>
      </c>
      <c r="N635" t="s">
        <v>79</v>
      </c>
      <c r="O635" t="s">
        <v>74</v>
      </c>
      <c r="P635" t="s">
        <v>74</v>
      </c>
      <c r="Q635" t="s">
        <v>74</v>
      </c>
      <c r="R635" t="s">
        <v>74</v>
      </c>
      <c r="S635" t="s">
        <v>74</v>
      </c>
      <c r="T635" t="s">
        <v>10642</v>
      </c>
      <c r="U635" t="s">
        <v>10643</v>
      </c>
      <c r="V635" t="s">
        <v>10644</v>
      </c>
      <c r="W635" t="s">
        <v>10645</v>
      </c>
      <c r="X635" t="s">
        <v>2003</v>
      </c>
      <c r="Y635" t="s">
        <v>10628</v>
      </c>
      <c r="Z635" t="s">
        <v>10646</v>
      </c>
      <c r="AA635" t="s">
        <v>74</v>
      </c>
      <c r="AB635" t="s">
        <v>74</v>
      </c>
      <c r="AC635" t="s">
        <v>74</v>
      </c>
      <c r="AD635" t="s">
        <v>74</v>
      </c>
      <c r="AE635" t="s">
        <v>74</v>
      </c>
      <c r="AF635" t="s">
        <v>74</v>
      </c>
      <c r="AG635">
        <v>39</v>
      </c>
      <c r="AH635">
        <v>17</v>
      </c>
      <c r="AI635">
        <v>19</v>
      </c>
      <c r="AJ635">
        <v>0</v>
      </c>
      <c r="AK635">
        <v>8</v>
      </c>
      <c r="AL635" t="s">
        <v>1240</v>
      </c>
      <c r="AM635" t="s">
        <v>1241</v>
      </c>
      <c r="AN635" t="s">
        <v>1242</v>
      </c>
      <c r="AO635" t="s">
        <v>10632</v>
      </c>
      <c r="AP635" t="s">
        <v>10633</v>
      </c>
      <c r="AQ635" t="s">
        <v>74</v>
      </c>
      <c r="AR635" t="s">
        <v>10634</v>
      </c>
      <c r="AS635" t="s">
        <v>10635</v>
      </c>
      <c r="AT635" t="s">
        <v>9266</v>
      </c>
      <c r="AU635">
        <v>2007</v>
      </c>
      <c r="AV635">
        <v>57</v>
      </c>
      <c r="AW635">
        <v>6</v>
      </c>
      <c r="AX635" t="s">
        <v>74</v>
      </c>
      <c r="AY635" t="s">
        <v>74</v>
      </c>
      <c r="AZ635" t="s">
        <v>74</v>
      </c>
      <c r="BA635" t="s">
        <v>74</v>
      </c>
      <c r="BB635">
        <v>559</v>
      </c>
      <c r="BC635">
        <v>578</v>
      </c>
      <c r="BD635" t="s">
        <v>74</v>
      </c>
      <c r="BE635" t="s">
        <v>10647</v>
      </c>
      <c r="BF635" t="str">
        <f>HYPERLINK("http://dx.doi.org/10.1007/s10236-007-0126-1","http://dx.doi.org/10.1007/s10236-007-0126-1")</f>
        <v>http://dx.doi.org/10.1007/s10236-007-0126-1</v>
      </c>
      <c r="BG635" t="s">
        <v>74</v>
      </c>
      <c r="BH635" t="s">
        <v>74</v>
      </c>
      <c r="BI635">
        <v>20</v>
      </c>
      <c r="BJ635" t="s">
        <v>630</v>
      </c>
      <c r="BK635" t="s">
        <v>97</v>
      </c>
      <c r="BL635" t="s">
        <v>630</v>
      </c>
      <c r="BM635" t="s">
        <v>10637</v>
      </c>
      <c r="BN635" t="s">
        <v>74</v>
      </c>
      <c r="BO635" t="s">
        <v>1050</v>
      </c>
      <c r="BP635" t="s">
        <v>74</v>
      </c>
      <c r="BQ635" t="s">
        <v>74</v>
      </c>
      <c r="BR635" t="s">
        <v>100</v>
      </c>
      <c r="BS635" t="s">
        <v>10648</v>
      </c>
      <c r="BT635" t="str">
        <f>HYPERLINK("https%3A%2F%2Fwww.webofscience.com%2Fwos%2Fwoscc%2Ffull-record%2FWOS:000251173800005","View Full Record in Web of Science")</f>
        <v>View Full Record in Web of Science</v>
      </c>
    </row>
    <row r="636" spans="1:72" x14ac:dyDescent="0.15">
      <c r="A636" t="s">
        <v>72</v>
      </c>
      <c r="B636" t="s">
        <v>10649</v>
      </c>
      <c r="C636" t="s">
        <v>74</v>
      </c>
      <c r="D636" t="s">
        <v>74</v>
      </c>
      <c r="E636" t="s">
        <v>74</v>
      </c>
      <c r="F636" t="s">
        <v>10650</v>
      </c>
      <c r="G636" t="s">
        <v>74</v>
      </c>
      <c r="H636" t="s">
        <v>74</v>
      </c>
      <c r="I636" t="s">
        <v>10651</v>
      </c>
      <c r="J636" t="s">
        <v>10652</v>
      </c>
      <c r="K636" t="s">
        <v>74</v>
      </c>
      <c r="L636" t="s">
        <v>74</v>
      </c>
      <c r="M636" t="s">
        <v>78</v>
      </c>
      <c r="N636" t="s">
        <v>79</v>
      </c>
      <c r="O636" t="s">
        <v>74</v>
      </c>
      <c r="P636" t="s">
        <v>74</v>
      </c>
      <c r="Q636" t="s">
        <v>74</v>
      </c>
      <c r="R636" t="s">
        <v>74</v>
      </c>
      <c r="S636" t="s">
        <v>74</v>
      </c>
      <c r="T636" t="s">
        <v>10653</v>
      </c>
      <c r="U636" t="s">
        <v>10654</v>
      </c>
      <c r="V636" t="s">
        <v>10655</v>
      </c>
      <c r="W636" t="s">
        <v>10656</v>
      </c>
      <c r="X636" t="s">
        <v>2003</v>
      </c>
      <c r="Y636" t="s">
        <v>10657</v>
      </c>
      <c r="Z636" t="s">
        <v>6465</v>
      </c>
      <c r="AA636" t="s">
        <v>10658</v>
      </c>
      <c r="AB636" t="s">
        <v>10659</v>
      </c>
      <c r="AC636" t="s">
        <v>10660</v>
      </c>
      <c r="AD636" t="s">
        <v>444</v>
      </c>
      <c r="AE636" t="s">
        <v>74</v>
      </c>
      <c r="AF636" t="s">
        <v>74</v>
      </c>
      <c r="AG636">
        <v>49</v>
      </c>
      <c r="AH636">
        <v>52</v>
      </c>
      <c r="AI636">
        <v>55</v>
      </c>
      <c r="AJ636">
        <v>1</v>
      </c>
      <c r="AK636">
        <v>26</v>
      </c>
      <c r="AL636" t="s">
        <v>1265</v>
      </c>
      <c r="AM636" t="s">
        <v>662</v>
      </c>
      <c r="AN636" t="s">
        <v>1298</v>
      </c>
      <c r="AO636" t="s">
        <v>10661</v>
      </c>
      <c r="AP636" t="s">
        <v>10662</v>
      </c>
      <c r="AQ636" t="s">
        <v>74</v>
      </c>
      <c r="AR636" t="s">
        <v>10652</v>
      </c>
      <c r="AS636" t="s">
        <v>10663</v>
      </c>
      <c r="AT636" t="s">
        <v>9266</v>
      </c>
      <c r="AU636">
        <v>2007</v>
      </c>
      <c r="AV636">
        <v>154</v>
      </c>
      <c r="AW636">
        <v>3</v>
      </c>
      <c r="AX636" t="s">
        <v>74</v>
      </c>
      <c r="AY636" t="s">
        <v>74</v>
      </c>
      <c r="AZ636" t="s">
        <v>74</v>
      </c>
      <c r="BA636" t="s">
        <v>74</v>
      </c>
      <c r="BB636">
        <v>479</v>
      </c>
      <c r="BC636">
        <v>484</v>
      </c>
      <c r="BD636" t="s">
        <v>74</v>
      </c>
      <c r="BE636" t="s">
        <v>10664</v>
      </c>
      <c r="BF636" t="str">
        <f>HYPERLINK("http://dx.doi.org/10.1007/s00442-007-0858-0","http://dx.doi.org/10.1007/s00442-007-0858-0")</f>
        <v>http://dx.doi.org/10.1007/s00442-007-0858-0</v>
      </c>
      <c r="BG636" t="s">
        <v>74</v>
      </c>
      <c r="BH636" t="s">
        <v>74</v>
      </c>
      <c r="BI636">
        <v>6</v>
      </c>
      <c r="BJ636" t="s">
        <v>297</v>
      </c>
      <c r="BK636" t="s">
        <v>97</v>
      </c>
      <c r="BL636" t="s">
        <v>275</v>
      </c>
      <c r="BM636" t="s">
        <v>10665</v>
      </c>
      <c r="BN636">
        <v>17899201</v>
      </c>
      <c r="BO636" t="s">
        <v>74</v>
      </c>
      <c r="BP636" t="s">
        <v>74</v>
      </c>
      <c r="BQ636" t="s">
        <v>74</v>
      </c>
      <c r="BR636" t="s">
        <v>100</v>
      </c>
      <c r="BS636" t="s">
        <v>10666</v>
      </c>
      <c r="BT636" t="str">
        <f>HYPERLINK("https%3A%2F%2Fwww.webofscience.com%2Fwos%2Fwoscc%2Ffull-record%2FWOS:000251146900004","View Full Record in Web of Science")</f>
        <v>View Full Record in Web of Science</v>
      </c>
    </row>
    <row r="637" spans="1:72" x14ac:dyDescent="0.15">
      <c r="A637" t="s">
        <v>72</v>
      </c>
      <c r="B637" t="s">
        <v>10667</v>
      </c>
      <c r="C637" t="s">
        <v>74</v>
      </c>
      <c r="D637" t="s">
        <v>74</v>
      </c>
      <c r="E637" t="s">
        <v>74</v>
      </c>
      <c r="F637" t="s">
        <v>10668</v>
      </c>
      <c r="G637" t="s">
        <v>74</v>
      </c>
      <c r="H637" t="s">
        <v>74</v>
      </c>
      <c r="I637" t="s">
        <v>10669</v>
      </c>
      <c r="J637" t="s">
        <v>10670</v>
      </c>
      <c r="K637" t="s">
        <v>74</v>
      </c>
      <c r="L637" t="s">
        <v>74</v>
      </c>
      <c r="M637" t="s">
        <v>78</v>
      </c>
      <c r="N637" t="s">
        <v>79</v>
      </c>
      <c r="O637" t="s">
        <v>74</v>
      </c>
      <c r="P637" t="s">
        <v>74</v>
      </c>
      <c r="Q637" t="s">
        <v>74</v>
      </c>
      <c r="R637" t="s">
        <v>74</v>
      </c>
      <c r="S637" t="s">
        <v>74</v>
      </c>
      <c r="T637" t="s">
        <v>10671</v>
      </c>
      <c r="U637" t="s">
        <v>10672</v>
      </c>
      <c r="V637" t="s">
        <v>10673</v>
      </c>
      <c r="W637" t="s">
        <v>10674</v>
      </c>
      <c r="X637" t="s">
        <v>10675</v>
      </c>
      <c r="Y637" t="s">
        <v>10676</v>
      </c>
      <c r="Z637" t="s">
        <v>10677</v>
      </c>
      <c r="AA637" t="s">
        <v>10678</v>
      </c>
      <c r="AB637" t="s">
        <v>10679</v>
      </c>
      <c r="AC637" t="s">
        <v>74</v>
      </c>
      <c r="AD637" t="s">
        <v>74</v>
      </c>
      <c r="AE637" t="s">
        <v>74</v>
      </c>
      <c r="AF637" t="s">
        <v>74</v>
      </c>
      <c r="AG637">
        <v>60</v>
      </c>
      <c r="AH637">
        <v>48</v>
      </c>
      <c r="AI637">
        <v>55</v>
      </c>
      <c r="AJ637">
        <v>0</v>
      </c>
      <c r="AK637">
        <v>24</v>
      </c>
      <c r="AL637" t="s">
        <v>2556</v>
      </c>
      <c r="AM637" t="s">
        <v>662</v>
      </c>
      <c r="AN637" t="s">
        <v>4911</v>
      </c>
      <c r="AO637" t="s">
        <v>10680</v>
      </c>
      <c r="AP637" t="s">
        <v>10681</v>
      </c>
      <c r="AQ637" t="s">
        <v>74</v>
      </c>
      <c r="AR637" t="s">
        <v>10670</v>
      </c>
      <c r="AS637" t="s">
        <v>10682</v>
      </c>
      <c r="AT637" t="s">
        <v>9266</v>
      </c>
      <c r="AU637">
        <v>2007</v>
      </c>
      <c r="AV637">
        <v>134</v>
      </c>
      <c r="AW637" t="s">
        <v>74</v>
      </c>
      <c r="AX637">
        <v>14</v>
      </c>
      <c r="AY637" t="s">
        <v>74</v>
      </c>
      <c r="AZ637" t="s">
        <v>74</v>
      </c>
      <c r="BA637" t="s">
        <v>74</v>
      </c>
      <c r="BB637">
        <v>1963</v>
      </c>
      <c r="BC637">
        <v>1971</v>
      </c>
      <c r="BD637" t="s">
        <v>74</v>
      </c>
      <c r="BE637" t="s">
        <v>10683</v>
      </c>
      <c r="BF637" t="str">
        <f>HYPERLINK("http://dx.doi.org/10.1017/S0031182007003320","http://dx.doi.org/10.1017/S0031182007003320")</f>
        <v>http://dx.doi.org/10.1017/S0031182007003320</v>
      </c>
      <c r="BG637" t="s">
        <v>74</v>
      </c>
      <c r="BH637" t="s">
        <v>74</v>
      </c>
      <c r="BI637">
        <v>9</v>
      </c>
      <c r="BJ637" t="s">
        <v>10682</v>
      </c>
      <c r="BK637" t="s">
        <v>97</v>
      </c>
      <c r="BL637" t="s">
        <v>10682</v>
      </c>
      <c r="BM637" t="s">
        <v>10684</v>
      </c>
      <c r="BN637">
        <v>17672925</v>
      </c>
      <c r="BO637" t="s">
        <v>74</v>
      </c>
      <c r="BP637" t="s">
        <v>74</v>
      </c>
      <c r="BQ637" t="s">
        <v>74</v>
      </c>
      <c r="BR637" t="s">
        <v>100</v>
      </c>
      <c r="BS637" t="s">
        <v>10685</v>
      </c>
      <c r="BT637" t="str">
        <f>HYPERLINK("https%3A%2F%2Fwww.webofscience.com%2Fwos%2Fwoscc%2Ffull-record%2FWOS:000251699200005","View Full Record in Web of Science")</f>
        <v>View Full Record in Web of Science</v>
      </c>
    </row>
    <row r="638" spans="1:72" x14ac:dyDescent="0.15">
      <c r="A638" t="s">
        <v>72</v>
      </c>
      <c r="B638" t="s">
        <v>10686</v>
      </c>
      <c r="C638" t="s">
        <v>74</v>
      </c>
      <c r="D638" t="s">
        <v>74</v>
      </c>
      <c r="E638" t="s">
        <v>74</v>
      </c>
      <c r="F638" t="s">
        <v>10687</v>
      </c>
      <c r="G638" t="s">
        <v>74</v>
      </c>
      <c r="H638" t="s">
        <v>74</v>
      </c>
      <c r="I638" t="s">
        <v>10688</v>
      </c>
      <c r="J638" t="s">
        <v>10689</v>
      </c>
      <c r="K638" t="s">
        <v>74</v>
      </c>
      <c r="L638" t="s">
        <v>74</v>
      </c>
      <c r="M638" t="s">
        <v>78</v>
      </c>
      <c r="N638" t="s">
        <v>79</v>
      </c>
      <c r="O638" t="s">
        <v>74</v>
      </c>
      <c r="P638" t="s">
        <v>74</v>
      </c>
      <c r="Q638" t="s">
        <v>74</v>
      </c>
      <c r="R638" t="s">
        <v>74</v>
      </c>
      <c r="S638" t="s">
        <v>74</v>
      </c>
      <c r="T638" t="s">
        <v>10690</v>
      </c>
      <c r="U638" t="s">
        <v>10691</v>
      </c>
      <c r="V638" t="s">
        <v>10692</v>
      </c>
      <c r="W638" t="s">
        <v>10693</v>
      </c>
      <c r="X638" t="s">
        <v>5738</v>
      </c>
      <c r="Y638" t="s">
        <v>10694</v>
      </c>
      <c r="Z638" t="s">
        <v>5740</v>
      </c>
      <c r="AA638" t="s">
        <v>5741</v>
      </c>
      <c r="AB638" t="s">
        <v>5742</v>
      </c>
      <c r="AC638" t="s">
        <v>5743</v>
      </c>
      <c r="AD638" t="s">
        <v>242</v>
      </c>
      <c r="AE638" t="s">
        <v>74</v>
      </c>
      <c r="AF638" t="s">
        <v>74</v>
      </c>
      <c r="AG638">
        <v>19</v>
      </c>
      <c r="AH638">
        <v>2</v>
      </c>
      <c r="AI638">
        <v>4</v>
      </c>
      <c r="AJ638">
        <v>0</v>
      </c>
      <c r="AK638">
        <v>0</v>
      </c>
      <c r="AL638" t="s">
        <v>1219</v>
      </c>
      <c r="AM638" t="s">
        <v>89</v>
      </c>
      <c r="AN638" t="s">
        <v>90</v>
      </c>
      <c r="AO638" t="s">
        <v>10695</v>
      </c>
      <c r="AP638" t="s">
        <v>10696</v>
      </c>
      <c r="AQ638" t="s">
        <v>74</v>
      </c>
      <c r="AR638" t="s">
        <v>10697</v>
      </c>
      <c r="AS638" t="s">
        <v>10698</v>
      </c>
      <c r="AT638" t="s">
        <v>9266</v>
      </c>
      <c r="AU638">
        <v>2007</v>
      </c>
      <c r="AV638">
        <v>32</v>
      </c>
      <c r="AW638">
        <v>4</v>
      </c>
      <c r="AX638" t="s">
        <v>74</v>
      </c>
      <c r="AY638" t="s">
        <v>74</v>
      </c>
      <c r="AZ638" t="s">
        <v>74</v>
      </c>
      <c r="BA638" t="s">
        <v>74</v>
      </c>
      <c r="BB638">
        <v>301</v>
      </c>
      <c r="BC638">
        <v>304</v>
      </c>
      <c r="BD638" t="s">
        <v>74</v>
      </c>
      <c r="BE638" t="s">
        <v>10699</v>
      </c>
      <c r="BF638" t="str">
        <f>HYPERLINK("http://dx.doi.org/10.1111/j.1365-3032.2007.00547.x","http://dx.doi.org/10.1111/j.1365-3032.2007.00547.x")</f>
        <v>http://dx.doi.org/10.1111/j.1365-3032.2007.00547.x</v>
      </c>
      <c r="BG638" t="s">
        <v>74</v>
      </c>
      <c r="BH638" t="s">
        <v>74</v>
      </c>
      <c r="BI638">
        <v>4</v>
      </c>
      <c r="BJ638" t="s">
        <v>10700</v>
      </c>
      <c r="BK638" t="s">
        <v>97</v>
      </c>
      <c r="BL638" t="s">
        <v>10700</v>
      </c>
      <c r="BM638" t="s">
        <v>10701</v>
      </c>
      <c r="BN638" t="s">
        <v>74</v>
      </c>
      <c r="BO638" t="s">
        <v>179</v>
      </c>
      <c r="BP638" t="s">
        <v>74</v>
      </c>
      <c r="BQ638" t="s">
        <v>74</v>
      </c>
      <c r="BR638" t="s">
        <v>100</v>
      </c>
      <c r="BS638" t="s">
        <v>10702</v>
      </c>
      <c r="BT638" t="str">
        <f>HYPERLINK("https%3A%2F%2Fwww.webofscience.com%2Fwos%2Fwoscc%2Ffull-record%2FWOS:000250648700001","View Full Record in Web of Science")</f>
        <v>View Full Record in Web of Science</v>
      </c>
    </row>
    <row r="639" spans="1:72" x14ac:dyDescent="0.15">
      <c r="A639" t="s">
        <v>72</v>
      </c>
      <c r="B639" t="s">
        <v>10703</v>
      </c>
      <c r="C639" t="s">
        <v>74</v>
      </c>
      <c r="D639" t="s">
        <v>74</v>
      </c>
      <c r="E639" t="s">
        <v>74</v>
      </c>
      <c r="F639" t="s">
        <v>10704</v>
      </c>
      <c r="G639" t="s">
        <v>74</v>
      </c>
      <c r="H639" t="s">
        <v>74</v>
      </c>
      <c r="I639" t="s">
        <v>10705</v>
      </c>
      <c r="J639" t="s">
        <v>7269</v>
      </c>
      <c r="K639" t="s">
        <v>74</v>
      </c>
      <c r="L639" t="s">
        <v>74</v>
      </c>
      <c r="M639" t="s">
        <v>78</v>
      </c>
      <c r="N639" t="s">
        <v>79</v>
      </c>
      <c r="O639" t="s">
        <v>74</v>
      </c>
      <c r="P639" t="s">
        <v>74</v>
      </c>
      <c r="Q639" t="s">
        <v>74</v>
      </c>
      <c r="R639" t="s">
        <v>74</v>
      </c>
      <c r="S639" t="s">
        <v>74</v>
      </c>
      <c r="T639" t="s">
        <v>10706</v>
      </c>
      <c r="U639" t="s">
        <v>10707</v>
      </c>
      <c r="V639" t="s">
        <v>10708</v>
      </c>
      <c r="W639" t="s">
        <v>10709</v>
      </c>
      <c r="X639" t="s">
        <v>10710</v>
      </c>
      <c r="Y639" t="s">
        <v>10711</v>
      </c>
      <c r="Z639" t="s">
        <v>10712</v>
      </c>
      <c r="AA639" t="s">
        <v>10713</v>
      </c>
      <c r="AB639" t="s">
        <v>10714</v>
      </c>
      <c r="AC639" t="s">
        <v>74</v>
      </c>
      <c r="AD639" t="s">
        <v>74</v>
      </c>
      <c r="AE639" t="s">
        <v>74</v>
      </c>
      <c r="AF639" t="s">
        <v>74</v>
      </c>
      <c r="AG639">
        <v>67</v>
      </c>
      <c r="AH639">
        <v>28</v>
      </c>
      <c r="AI639">
        <v>29</v>
      </c>
      <c r="AJ639">
        <v>3</v>
      </c>
      <c r="AK639">
        <v>27</v>
      </c>
      <c r="AL639" t="s">
        <v>1265</v>
      </c>
      <c r="AM639" t="s">
        <v>662</v>
      </c>
      <c r="AN639" t="s">
        <v>7409</v>
      </c>
      <c r="AO639" t="s">
        <v>7277</v>
      </c>
      <c r="AP639" t="s">
        <v>74</v>
      </c>
      <c r="AQ639" t="s">
        <v>74</v>
      </c>
      <c r="AR639" t="s">
        <v>7279</v>
      </c>
      <c r="AS639" t="s">
        <v>7280</v>
      </c>
      <c r="AT639" t="s">
        <v>9266</v>
      </c>
      <c r="AU639">
        <v>2007</v>
      </c>
      <c r="AV639">
        <v>31</v>
      </c>
      <c r="AW639">
        <v>1</v>
      </c>
      <c r="AX639" t="s">
        <v>74</v>
      </c>
      <c r="AY639" t="s">
        <v>74</v>
      </c>
      <c r="AZ639" t="s">
        <v>74</v>
      </c>
      <c r="BA639" t="s">
        <v>74</v>
      </c>
      <c r="BB639">
        <v>1</v>
      </c>
      <c r="BC639">
        <v>13</v>
      </c>
      <c r="BD639" t="s">
        <v>74</v>
      </c>
      <c r="BE639" t="s">
        <v>10715</v>
      </c>
      <c r="BF639" t="str">
        <f>HYPERLINK("http://dx.doi.org/10.1007/s00300-007-0323-x","http://dx.doi.org/10.1007/s00300-007-0323-x")</f>
        <v>http://dx.doi.org/10.1007/s00300-007-0323-x</v>
      </c>
      <c r="BG639" t="s">
        <v>74</v>
      </c>
      <c r="BH639" t="s">
        <v>74</v>
      </c>
      <c r="BI639">
        <v>13</v>
      </c>
      <c r="BJ639" t="s">
        <v>7282</v>
      </c>
      <c r="BK639" t="s">
        <v>97</v>
      </c>
      <c r="BL639" t="s">
        <v>7283</v>
      </c>
      <c r="BM639" t="s">
        <v>10716</v>
      </c>
      <c r="BN639" t="s">
        <v>74</v>
      </c>
      <c r="BO639" t="s">
        <v>1050</v>
      </c>
      <c r="BP639" t="s">
        <v>74</v>
      </c>
      <c r="BQ639" t="s">
        <v>74</v>
      </c>
      <c r="BR639" t="s">
        <v>100</v>
      </c>
      <c r="BS639" t="s">
        <v>10717</v>
      </c>
      <c r="BT639" t="str">
        <f>HYPERLINK("https%3A%2F%2Fwww.webofscience.com%2Fwos%2Fwoscc%2Ffull-record%2FWOS:000251717100001","View Full Record in Web of Science")</f>
        <v>View Full Record in Web of Science</v>
      </c>
    </row>
    <row r="640" spans="1:72" x14ac:dyDescent="0.15">
      <c r="A640" t="s">
        <v>72</v>
      </c>
      <c r="B640" t="s">
        <v>10718</v>
      </c>
      <c r="C640" t="s">
        <v>74</v>
      </c>
      <c r="D640" t="s">
        <v>74</v>
      </c>
      <c r="E640" t="s">
        <v>74</v>
      </c>
      <c r="F640" t="s">
        <v>10719</v>
      </c>
      <c r="G640" t="s">
        <v>74</v>
      </c>
      <c r="H640" t="s">
        <v>74</v>
      </c>
      <c r="I640" t="s">
        <v>10720</v>
      </c>
      <c r="J640" t="s">
        <v>7269</v>
      </c>
      <c r="K640" t="s">
        <v>74</v>
      </c>
      <c r="L640" t="s">
        <v>74</v>
      </c>
      <c r="M640" t="s">
        <v>78</v>
      </c>
      <c r="N640" t="s">
        <v>79</v>
      </c>
      <c r="O640" t="s">
        <v>74</v>
      </c>
      <c r="P640" t="s">
        <v>74</v>
      </c>
      <c r="Q640" t="s">
        <v>74</v>
      </c>
      <c r="R640" t="s">
        <v>74</v>
      </c>
      <c r="S640" t="s">
        <v>74</v>
      </c>
      <c r="T640" t="s">
        <v>10721</v>
      </c>
      <c r="U640" t="s">
        <v>10722</v>
      </c>
      <c r="V640" t="s">
        <v>10723</v>
      </c>
      <c r="W640" t="s">
        <v>10724</v>
      </c>
      <c r="X640" t="s">
        <v>10725</v>
      </c>
      <c r="Y640" t="s">
        <v>10726</v>
      </c>
      <c r="Z640" t="s">
        <v>10727</v>
      </c>
      <c r="AA640" t="s">
        <v>10728</v>
      </c>
      <c r="AB640" t="s">
        <v>10729</v>
      </c>
      <c r="AC640" t="s">
        <v>74</v>
      </c>
      <c r="AD640" t="s">
        <v>74</v>
      </c>
      <c r="AE640" t="s">
        <v>74</v>
      </c>
      <c r="AF640" t="s">
        <v>74</v>
      </c>
      <c r="AG640">
        <v>26</v>
      </c>
      <c r="AH640">
        <v>14</v>
      </c>
      <c r="AI640">
        <v>19</v>
      </c>
      <c r="AJ640">
        <v>1</v>
      </c>
      <c r="AK640">
        <v>126</v>
      </c>
      <c r="AL640" t="s">
        <v>1265</v>
      </c>
      <c r="AM640" t="s">
        <v>662</v>
      </c>
      <c r="AN640" t="s">
        <v>1298</v>
      </c>
      <c r="AO640" t="s">
        <v>7277</v>
      </c>
      <c r="AP640" t="s">
        <v>7278</v>
      </c>
      <c r="AQ640" t="s">
        <v>74</v>
      </c>
      <c r="AR640" t="s">
        <v>7279</v>
      </c>
      <c r="AS640" t="s">
        <v>7280</v>
      </c>
      <c r="AT640" t="s">
        <v>9266</v>
      </c>
      <c r="AU640">
        <v>2007</v>
      </c>
      <c r="AV640">
        <v>31</v>
      </c>
      <c r="AW640">
        <v>1</v>
      </c>
      <c r="AX640" t="s">
        <v>74</v>
      </c>
      <c r="AY640" t="s">
        <v>74</v>
      </c>
      <c r="AZ640" t="s">
        <v>74</v>
      </c>
      <c r="BA640" t="s">
        <v>74</v>
      </c>
      <c r="BB640">
        <v>23</v>
      </c>
      <c r="BC640">
        <v>30</v>
      </c>
      <c r="BD640" t="s">
        <v>74</v>
      </c>
      <c r="BE640" t="s">
        <v>10730</v>
      </c>
      <c r="BF640" t="str">
        <f>HYPERLINK("http://dx.doi.org/10.1007/s00300-007-0328-5","http://dx.doi.org/10.1007/s00300-007-0328-5")</f>
        <v>http://dx.doi.org/10.1007/s00300-007-0328-5</v>
      </c>
      <c r="BG640" t="s">
        <v>74</v>
      </c>
      <c r="BH640" t="s">
        <v>74</v>
      </c>
      <c r="BI640">
        <v>8</v>
      </c>
      <c r="BJ640" t="s">
        <v>7282</v>
      </c>
      <c r="BK640" t="s">
        <v>97</v>
      </c>
      <c r="BL640" t="s">
        <v>7283</v>
      </c>
      <c r="BM640" t="s">
        <v>10716</v>
      </c>
      <c r="BN640" t="s">
        <v>74</v>
      </c>
      <c r="BO640" t="s">
        <v>74</v>
      </c>
      <c r="BP640" t="s">
        <v>74</v>
      </c>
      <c r="BQ640" t="s">
        <v>74</v>
      </c>
      <c r="BR640" t="s">
        <v>100</v>
      </c>
      <c r="BS640" t="s">
        <v>10731</v>
      </c>
      <c r="BT640" t="str">
        <f>HYPERLINK("https%3A%2F%2Fwww.webofscience.com%2Fwos%2Fwoscc%2Ffull-record%2FWOS:000251717100003","View Full Record in Web of Science")</f>
        <v>View Full Record in Web of Science</v>
      </c>
    </row>
    <row r="641" spans="1:72" x14ac:dyDescent="0.15">
      <c r="A641" t="s">
        <v>72</v>
      </c>
      <c r="B641" t="s">
        <v>10732</v>
      </c>
      <c r="C641" t="s">
        <v>74</v>
      </c>
      <c r="D641" t="s">
        <v>74</v>
      </c>
      <c r="E641" t="s">
        <v>74</v>
      </c>
      <c r="F641" t="s">
        <v>10733</v>
      </c>
      <c r="G641" t="s">
        <v>74</v>
      </c>
      <c r="H641" t="s">
        <v>74</v>
      </c>
      <c r="I641" t="s">
        <v>10734</v>
      </c>
      <c r="J641" t="s">
        <v>7269</v>
      </c>
      <c r="K641" t="s">
        <v>74</v>
      </c>
      <c r="L641" t="s">
        <v>74</v>
      </c>
      <c r="M641" t="s">
        <v>78</v>
      </c>
      <c r="N641" t="s">
        <v>79</v>
      </c>
      <c r="O641" t="s">
        <v>74</v>
      </c>
      <c r="P641" t="s">
        <v>74</v>
      </c>
      <c r="Q641" t="s">
        <v>74</v>
      </c>
      <c r="R641" t="s">
        <v>74</v>
      </c>
      <c r="S641" t="s">
        <v>74</v>
      </c>
      <c r="T641" t="s">
        <v>10735</v>
      </c>
      <c r="U641" t="s">
        <v>10736</v>
      </c>
      <c r="V641" t="s">
        <v>10737</v>
      </c>
      <c r="W641" t="s">
        <v>10738</v>
      </c>
      <c r="X641" t="s">
        <v>10739</v>
      </c>
      <c r="Y641" t="s">
        <v>10740</v>
      </c>
      <c r="Z641" t="s">
        <v>10741</v>
      </c>
      <c r="AA641" t="s">
        <v>74</v>
      </c>
      <c r="AB641" t="s">
        <v>74</v>
      </c>
      <c r="AC641" t="s">
        <v>74</v>
      </c>
      <c r="AD641" t="s">
        <v>74</v>
      </c>
      <c r="AE641" t="s">
        <v>74</v>
      </c>
      <c r="AF641" t="s">
        <v>74</v>
      </c>
      <c r="AG641">
        <v>25</v>
      </c>
      <c r="AH641">
        <v>1</v>
      </c>
      <c r="AI641">
        <v>1</v>
      </c>
      <c r="AJ641">
        <v>0</v>
      </c>
      <c r="AK641">
        <v>15</v>
      </c>
      <c r="AL641" t="s">
        <v>1265</v>
      </c>
      <c r="AM641" t="s">
        <v>662</v>
      </c>
      <c r="AN641" t="s">
        <v>1266</v>
      </c>
      <c r="AO641" t="s">
        <v>7277</v>
      </c>
      <c r="AP641" t="s">
        <v>7278</v>
      </c>
      <c r="AQ641" t="s">
        <v>74</v>
      </c>
      <c r="AR641" t="s">
        <v>7279</v>
      </c>
      <c r="AS641" t="s">
        <v>7280</v>
      </c>
      <c r="AT641" t="s">
        <v>9266</v>
      </c>
      <c r="AU641">
        <v>2007</v>
      </c>
      <c r="AV641">
        <v>31</v>
      </c>
      <c r="AW641">
        <v>1</v>
      </c>
      <c r="AX641" t="s">
        <v>74</v>
      </c>
      <c r="AY641" t="s">
        <v>74</v>
      </c>
      <c r="AZ641" t="s">
        <v>74</v>
      </c>
      <c r="BA641" t="s">
        <v>74</v>
      </c>
      <c r="BB641">
        <v>31</v>
      </c>
      <c r="BC641">
        <v>37</v>
      </c>
      <c r="BD641" t="s">
        <v>74</v>
      </c>
      <c r="BE641" t="s">
        <v>10742</v>
      </c>
      <c r="BF641" t="str">
        <f>HYPERLINK("http://dx.doi.org/10.1007/s00300-007-0329-4","http://dx.doi.org/10.1007/s00300-007-0329-4")</f>
        <v>http://dx.doi.org/10.1007/s00300-007-0329-4</v>
      </c>
      <c r="BG641" t="s">
        <v>74</v>
      </c>
      <c r="BH641" t="s">
        <v>74</v>
      </c>
      <c r="BI641">
        <v>7</v>
      </c>
      <c r="BJ641" t="s">
        <v>7282</v>
      </c>
      <c r="BK641" t="s">
        <v>97</v>
      </c>
      <c r="BL641" t="s">
        <v>7283</v>
      </c>
      <c r="BM641" t="s">
        <v>10716</v>
      </c>
      <c r="BN641" t="s">
        <v>74</v>
      </c>
      <c r="BO641" t="s">
        <v>74</v>
      </c>
      <c r="BP641" t="s">
        <v>74</v>
      </c>
      <c r="BQ641" t="s">
        <v>74</v>
      </c>
      <c r="BR641" t="s">
        <v>100</v>
      </c>
      <c r="BS641" t="s">
        <v>10743</v>
      </c>
      <c r="BT641" t="str">
        <f>HYPERLINK("https%3A%2F%2Fwww.webofscience.com%2Fwos%2Fwoscc%2Ffull-record%2FWOS:000251717100004","View Full Record in Web of Science")</f>
        <v>View Full Record in Web of Science</v>
      </c>
    </row>
    <row r="642" spans="1:72" x14ac:dyDescent="0.15">
      <c r="A642" t="s">
        <v>72</v>
      </c>
      <c r="B642" t="s">
        <v>10744</v>
      </c>
      <c r="C642" t="s">
        <v>74</v>
      </c>
      <c r="D642" t="s">
        <v>74</v>
      </c>
      <c r="E642" t="s">
        <v>74</v>
      </c>
      <c r="F642" t="s">
        <v>10745</v>
      </c>
      <c r="G642" t="s">
        <v>74</v>
      </c>
      <c r="H642" t="s">
        <v>74</v>
      </c>
      <c r="I642" t="s">
        <v>10746</v>
      </c>
      <c r="J642" t="s">
        <v>7269</v>
      </c>
      <c r="K642" t="s">
        <v>74</v>
      </c>
      <c r="L642" t="s">
        <v>74</v>
      </c>
      <c r="M642" t="s">
        <v>78</v>
      </c>
      <c r="N642" t="s">
        <v>79</v>
      </c>
      <c r="O642" t="s">
        <v>74</v>
      </c>
      <c r="P642" t="s">
        <v>74</v>
      </c>
      <c r="Q642" t="s">
        <v>74</v>
      </c>
      <c r="R642" t="s">
        <v>74</v>
      </c>
      <c r="S642" t="s">
        <v>74</v>
      </c>
      <c r="T642" t="s">
        <v>10747</v>
      </c>
      <c r="U642" t="s">
        <v>10748</v>
      </c>
      <c r="V642" t="s">
        <v>10749</v>
      </c>
      <c r="W642" t="s">
        <v>10750</v>
      </c>
      <c r="X642" t="s">
        <v>10751</v>
      </c>
      <c r="Y642" t="s">
        <v>10752</v>
      </c>
      <c r="Z642" t="s">
        <v>10753</v>
      </c>
      <c r="AA642" t="s">
        <v>10754</v>
      </c>
      <c r="AB642" t="s">
        <v>10755</v>
      </c>
      <c r="AC642" t="s">
        <v>74</v>
      </c>
      <c r="AD642" t="s">
        <v>74</v>
      </c>
      <c r="AE642" t="s">
        <v>74</v>
      </c>
      <c r="AF642" t="s">
        <v>74</v>
      </c>
      <c r="AG642">
        <v>31</v>
      </c>
      <c r="AH642">
        <v>35</v>
      </c>
      <c r="AI642">
        <v>38</v>
      </c>
      <c r="AJ642">
        <v>2</v>
      </c>
      <c r="AK642">
        <v>44</v>
      </c>
      <c r="AL642" t="s">
        <v>1265</v>
      </c>
      <c r="AM642" t="s">
        <v>662</v>
      </c>
      <c r="AN642" t="s">
        <v>7409</v>
      </c>
      <c r="AO642" t="s">
        <v>7277</v>
      </c>
      <c r="AP642" t="s">
        <v>74</v>
      </c>
      <c r="AQ642" t="s">
        <v>74</v>
      </c>
      <c r="AR642" t="s">
        <v>7279</v>
      </c>
      <c r="AS642" t="s">
        <v>7280</v>
      </c>
      <c r="AT642" t="s">
        <v>9266</v>
      </c>
      <c r="AU642">
        <v>2007</v>
      </c>
      <c r="AV642">
        <v>31</v>
      </c>
      <c r="AW642">
        <v>1</v>
      </c>
      <c r="AX642" t="s">
        <v>74</v>
      </c>
      <c r="AY642" t="s">
        <v>74</v>
      </c>
      <c r="AZ642" t="s">
        <v>74</v>
      </c>
      <c r="BA642" t="s">
        <v>74</v>
      </c>
      <c r="BB642">
        <v>47</v>
      </c>
      <c r="BC642">
        <v>51</v>
      </c>
      <c r="BD642" t="s">
        <v>74</v>
      </c>
      <c r="BE642" t="s">
        <v>10756</v>
      </c>
      <c r="BF642" t="str">
        <f>HYPERLINK("http://dx.doi.org/10.1007/s00300-007-0331-x","http://dx.doi.org/10.1007/s00300-007-0331-x")</f>
        <v>http://dx.doi.org/10.1007/s00300-007-0331-x</v>
      </c>
      <c r="BG642" t="s">
        <v>74</v>
      </c>
      <c r="BH642" t="s">
        <v>74</v>
      </c>
      <c r="BI642">
        <v>5</v>
      </c>
      <c r="BJ642" t="s">
        <v>7282</v>
      </c>
      <c r="BK642" t="s">
        <v>97</v>
      </c>
      <c r="BL642" t="s">
        <v>7283</v>
      </c>
      <c r="BM642" t="s">
        <v>10716</v>
      </c>
      <c r="BN642" t="s">
        <v>74</v>
      </c>
      <c r="BO642" t="s">
        <v>74</v>
      </c>
      <c r="BP642" t="s">
        <v>74</v>
      </c>
      <c r="BQ642" t="s">
        <v>74</v>
      </c>
      <c r="BR642" t="s">
        <v>100</v>
      </c>
      <c r="BS642" t="s">
        <v>10757</v>
      </c>
      <c r="BT642" t="str">
        <f>HYPERLINK("https%3A%2F%2Fwww.webofscience.com%2Fwos%2Fwoscc%2Ffull-record%2FWOS:000251717100006","View Full Record in Web of Science")</f>
        <v>View Full Record in Web of Science</v>
      </c>
    </row>
    <row r="643" spans="1:72" x14ac:dyDescent="0.15">
      <c r="A643" t="s">
        <v>72</v>
      </c>
      <c r="B643" t="s">
        <v>10758</v>
      </c>
      <c r="C643" t="s">
        <v>74</v>
      </c>
      <c r="D643" t="s">
        <v>74</v>
      </c>
      <c r="E643" t="s">
        <v>74</v>
      </c>
      <c r="F643" t="s">
        <v>10759</v>
      </c>
      <c r="G643" t="s">
        <v>74</v>
      </c>
      <c r="H643" t="s">
        <v>74</v>
      </c>
      <c r="I643" t="s">
        <v>10760</v>
      </c>
      <c r="J643" t="s">
        <v>7269</v>
      </c>
      <c r="K643" t="s">
        <v>74</v>
      </c>
      <c r="L643" t="s">
        <v>74</v>
      </c>
      <c r="M643" t="s">
        <v>78</v>
      </c>
      <c r="N643" t="s">
        <v>79</v>
      </c>
      <c r="O643" t="s">
        <v>74</v>
      </c>
      <c r="P643" t="s">
        <v>74</v>
      </c>
      <c r="Q643" t="s">
        <v>74</v>
      </c>
      <c r="R643" t="s">
        <v>74</v>
      </c>
      <c r="S643" t="s">
        <v>74</v>
      </c>
      <c r="T643" t="s">
        <v>10761</v>
      </c>
      <c r="U643" t="s">
        <v>10762</v>
      </c>
      <c r="V643" t="s">
        <v>10763</v>
      </c>
      <c r="W643" t="s">
        <v>10764</v>
      </c>
      <c r="X643" t="s">
        <v>10765</v>
      </c>
      <c r="Y643" t="s">
        <v>10766</v>
      </c>
      <c r="Z643" t="s">
        <v>10767</v>
      </c>
      <c r="AA643" t="s">
        <v>10768</v>
      </c>
      <c r="AB643" t="s">
        <v>10769</v>
      </c>
      <c r="AC643" t="s">
        <v>74</v>
      </c>
      <c r="AD643" t="s">
        <v>74</v>
      </c>
      <c r="AE643" t="s">
        <v>74</v>
      </c>
      <c r="AF643" t="s">
        <v>74</v>
      </c>
      <c r="AG643">
        <v>75</v>
      </c>
      <c r="AH643">
        <v>38</v>
      </c>
      <c r="AI643">
        <v>41</v>
      </c>
      <c r="AJ643">
        <v>1</v>
      </c>
      <c r="AK643">
        <v>29</v>
      </c>
      <c r="AL643" t="s">
        <v>1265</v>
      </c>
      <c r="AM643" t="s">
        <v>662</v>
      </c>
      <c r="AN643" t="s">
        <v>1266</v>
      </c>
      <c r="AO643" t="s">
        <v>7277</v>
      </c>
      <c r="AP643" t="s">
        <v>74</v>
      </c>
      <c r="AQ643" t="s">
        <v>74</v>
      </c>
      <c r="AR643" t="s">
        <v>7279</v>
      </c>
      <c r="AS643" t="s">
        <v>7280</v>
      </c>
      <c r="AT643" t="s">
        <v>9266</v>
      </c>
      <c r="AU643">
        <v>2007</v>
      </c>
      <c r="AV643">
        <v>31</v>
      </c>
      <c r="AW643">
        <v>1</v>
      </c>
      <c r="AX643" t="s">
        <v>74</v>
      </c>
      <c r="AY643" t="s">
        <v>74</v>
      </c>
      <c r="AZ643" t="s">
        <v>74</v>
      </c>
      <c r="BA643" t="s">
        <v>74</v>
      </c>
      <c r="BB643">
        <v>77</v>
      </c>
      <c r="BC643">
        <v>88</v>
      </c>
      <c r="BD643" t="s">
        <v>74</v>
      </c>
      <c r="BE643" t="s">
        <v>10770</v>
      </c>
      <c r="BF643" t="str">
        <f>HYPERLINK("http://dx.doi.org/10.1007/s00300-007-0335-6","http://dx.doi.org/10.1007/s00300-007-0335-6")</f>
        <v>http://dx.doi.org/10.1007/s00300-007-0335-6</v>
      </c>
      <c r="BG643" t="s">
        <v>74</v>
      </c>
      <c r="BH643" t="s">
        <v>74</v>
      </c>
      <c r="BI643">
        <v>12</v>
      </c>
      <c r="BJ643" t="s">
        <v>7282</v>
      </c>
      <c r="BK643" t="s">
        <v>97</v>
      </c>
      <c r="BL643" t="s">
        <v>7283</v>
      </c>
      <c r="BM643" t="s">
        <v>10716</v>
      </c>
      <c r="BN643" t="s">
        <v>74</v>
      </c>
      <c r="BO643" t="s">
        <v>74</v>
      </c>
      <c r="BP643" t="s">
        <v>74</v>
      </c>
      <c r="BQ643" t="s">
        <v>74</v>
      </c>
      <c r="BR643" t="s">
        <v>100</v>
      </c>
      <c r="BS643" t="s">
        <v>10771</v>
      </c>
      <c r="BT643" t="str">
        <f>HYPERLINK("https%3A%2F%2Fwww.webofscience.com%2Fwos%2Fwoscc%2Ffull-record%2FWOS:000251717100010","View Full Record in Web of Science")</f>
        <v>View Full Record in Web of Science</v>
      </c>
    </row>
    <row r="644" spans="1:72" x14ac:dyDescent="0.15">
      <c r="A644" t="s">
        <v>72</v>
      </c>
      <c r="B644" t="s">
        <v>10772</v>
      </c>
      <c r="C644" t="s">
        <v>74</v>
      </c>
      <c r="D644" t="s">
        <v>74</v>
      </c>
      <c r="E644" t="s">
        <v>74</v>
      </c>
      <c r="F644" t="s">
        <v>10773</v>
      </c>
      <c r="G644" t="s">
        <v>74</v>
      </c>
      <c r="H644" t="s">
        <v>74</v>
      </c>
      <c r="I644" t="s">
        <v>10774</v>
      </c>
      <c r="J644" t="s">
        <v>7859</v>
      </c>
      <c r="K644" t="s">
        <v>74</v>
      </c>
      <c r="L644" t="s">
        <v>74</v>
      </c>
      <c r="M644" t="s">
        <v>78</v>
      </c>
      <c r="N644" t="s">
        <v>79</v>
      </c>
      <c r="O644" t="s">
        <v>74</v>
      </c>
      <c r="P644" t="s">
        <v>74</v>
      </c>
      <c r="Q644" t="s">
        <v>74</v>
      </c>
      <c r="R644" t="s">
        <v>74</v>
      </c>
      <c r="S644" t="s">
        <v>74</v>
      </c>
      <c r="T644" t="s">
        <v>74</v>
      </c>
      <c r="U644" t="s">
        <v>74</v>
      </c>
      <c r="V644" t="s">
        <v>10775</v>
      </c>
      <c r="W644" t="s">
        <v>439</v>
      </c>
      <c r="X644" t="s">
        <v>440</v>
      </c>
      <c r="Y644" t="s">
        <v>10776</v>
      </c>
      <c r="Z644" t="s">
        <v>2415</v>
      </c>
      <c r="AA644" t="s">
        <v>2416</v>
      </c>
      <c r="AB644" t="s">
        <v>2417</v>
      </c>
      <c r="AC644" t="s">
        <v>2215</v>
      </c>
      <c r="AD644" t="s">
        <v>444</v>
      </c>
      <c r="AE644" t="s">
        <v>74</v>
      </c>
      <c r="AF644" t="s">
        <v>74</v>
      </c>
      <c r="AG644">
        <v>4</v>
      </c>
      <c r="AH644">
        <v>11</v>
      </c>
      <c r="AI644">
        <v>18</v>
      </c>
      <c r="AJ644">
        <v>0</v>
      </c>
      <c r="AK644">
        <v>3</v>
      </c>
      <c r="AL644" t="s">
        <v>521</v>
      </c>
      <c r="AM644" t="s">
        <v>522</v>
      </c>
      <c r="AN644" t="s">
        <v>523</v>
      </c>
      <c r="AO644" t="s">
        <v>7868</v>
      </c>
      <c r="AP644" t="s">
        <v>74</v>
      </c>
      <c r="AQ644" t="s">
        <v>74</v>
      </c>
      <c r="AR644" t="s">
        <v>7869</v>
      </c>
      <c r="AS644" t="s">
        <v>7870</v>
      </c>
      <c r="AT644" t="s">
        <v>9266</v>
      </c>
      <c r="AU644">
        <v>2007</v>
      </c>
      <c r="AV644">
        <v>26</v>
      </c>
      <c r="AW644" t="s">
        <v>10777</v>
      </c>
      <c r="AX644" t="s">
        <v>74</v>
      </c>
      <c r="AY644" t="s">
        <v>74</v>
      </c>
      <c r="AZ644" t="s">
        <v>74</v>
      </c>
      <c r="BA644" t="s">
        <v>74</v>
      </c>
      <c r="BB644">
        <v>3023</v>
      </c>
      <c r="BC644">
        <v>3024</v>
      </c>
      <c r="BD644" t="s">
        <v>74</v>
      </c>
      <c r="BE644" t="s">
        <v>10778</v>
      </c>
      <c r="BF644" t="str">
        <f>HYPERLINK("http://dx.doi.org/10.1016/j.quascirev.2007.10.008","http://dx.doi.org/10.1016/j.quascirev.2007.10.008")</f>
        <v>http://dx.doi.org/10.1016/j.quascirev.2007.10.008</v>
      </c>
      <c r="BG644" t="s">
        <v>74</v>
      </c>
      <c r="BH644" t="s">
        <v>74</v>
      </c>
      <c r="BI644">
        <v>2</v>
      </c>
      <c r="BJ644" t="s">
        <v>2748</v>
      </c>
      <c r="BK644" t="s">
        <v>97</v>
      </c>
      <c r="BL644" t="s">
        <v>2749</v>
      </c>
      <c r="BM644" t="s">
        <v>10779</v>
      </c>
      <c r="BN644" t="s">
        <v>74</v>
      </c>
      <c r="BO644" t="s">
        <v>74</v>
      </c>
      <c r="BP644" t="s">
        <v>74</v>
      </c>
      <c r="BQ644" t="s">
        <v>74</v>
      </c>
      <c r="BR644" t="s">
        <v>100</v>
      </c>
      <c r="BS644" t="s">
        <v>10780</v>
      </c>
      <c r="BT644" t="str">
        <f>HYPERLINK("https%3A%2F%2Fwww.webofscience.com%2Fwos%2Fwoscc%2Ffull-record%2FWOS:000252756100003","View Full Record in Web of Science")</f>
        <v>View Full Record in Web of Science</v>
      </c>
    </row>
    <row r="645" spans="1:72" x14ac:dyDescent="0.15">
      <c r="A645" t="s">
        <v>72</v>
      </c>
      <c r="B645" t="s">
        <v>10781</v>
      </c>
      <c r="C645" t="s">
        <v>74</v>
      </c>
      <c r="D645" t="s">
        <v>74</v>
      </c>
      <c r="E645" t="s">
        <v>74</v>
      </c>
      <c r="F645" t="s">
        <v>10782</v>
      </c>
      <c r="G645" t="s">
        <v>74</v>
      </c>
      <c r="H645" t="s">
        <v>74</v>
      </c>
      <c r="I645" t="s">
        <v>10783</v>
      </c>
      <c r="J645" t="s">
        <v>7859</v>
      </c>
      <c r="K645" t="s">
        <v>74</v>
      </c>
      <c r="L645" t="s">
        <v>74</v>
      </c>
      <c r="M645" t="s">
        <v>78</v>
      </c>
      <c r="N645" t="s">
        <v>79</v>
      </c>
      <c r="O645" t="s">
        <v>74</v>
      </c>
      <c r="P645" t="s">
        <v>74</v>
      </c>
      <c r="Q645" t="s">
        <v>74</v>
      </c>
      <c r="R645" t="s">
        <v>74</v>
      </c>
      <c r="S645" t="s">
        <v>74</v>
      </c>
      <c r="T645" t="s">
        <v>74</v>
      </c>
      <c r="U645" t="s">
        <v>10784</v>
      </c>
      <c r="V645" t="s">
        <v>10785</v>
      </c>
      <c r="W645" t="s">
        <v>10786</v>
      </c>
      <c r="X645" t="s">
        <v>10787</v>
      </c>
      <c r="Y645" t="s">
        <v>10788</v>
      </c>
      <c r="Z645" t="s">
        <v>10789</v>
      </c>
      <c r="AA645" t="s">
        <v>10790</v>
      </c>
      <c r="AB645" t="s">
        <v>10791</v>
      </c>
      <c r="AC645" t="s">
        <v>74</v>
      </c>
      <c r="AD645" t="s">
        <v>74</v>
      </c>
      <c r="AE645" t="s">
        <v>74</v>
      </c>
      <c r="AF645" t="s">
        <v>74</v>
      </c>
      <c r="AG645">
        <v>34</v>
      </c>
      <c r="AH645">
        <v>28</v>
      </c>
      <c r="AI645">
        <v>31</v>
      </c>
      <c r="AJ645">
        <v>0</v>
      </c>
      <c r="AK645">
        <v>20</v>
      </c>
      <c r="AL645" t="s">
        <v>521</v>
      </c>
      <c r="AM645" t="s">
        <v>522</v>
      </c>
      <c r="AN645" t="s">
        <v>523</v>
      </c>
      <c r="AO645" t="s">
        <v>7868</v>
      </c>
      <c r="AP645" t="s">
        <v>74</v>
      </c>
      <c r="AQ645" t="s">
        <v>74</v>
      </c>
      <c r="AR645" t="s">
        <v>7869</v>
      </c>
      <c r="AS645" t="s">
        <v>7870</v>
      </c>
      <c r="AT645" t="s">
        <v>9266</v>
      </c>
      <c r="AU645">
        <v>2007</v>
      </c>
      <c r="AV645">
        <v>26</v>
      </c>
      <c r="AW645" t="s">
        <v>10777</v>
      </c>
      <c r="AX645" t="s">
        <v>74</v>
      </c>
      <c r="AY645" t="s">
        <v>74</v>
      </c>
      <c r="AZ645" t="s">
        <v>74</v>
      </c>
      <c r="BA645" t="s">
        <v>74</v>
      </c>
      <c r="BB645">
        <v>3037</v>
      </c>
      <c r="BC645">
        <v>3042</v>
      </c>
      <c r="BD645" t="s">
        <v>74</v>
      </c>
      <c r="BE645" t="s">
        <v>10792</v>
      </c>
      <c r="BF645" t="str">
        <f>HYPERLINK("http://dx.doi.org/10.1016/j.quascirev.2007.09.014","http://dx.doi.org/10.1016/j.quascirev.2007.09.014")</f>
        <v>http://dx.doi.org/10.1016/j.quascirev.2007.09.014</v>
      </c>
      <c r="BG645" t="s">
        <v>74</v>
      </c>
      <c r="BH645" t="s">
        <v>74</v>
      </c>
      <c r="BI645">
        <v>6</v>
      </c>
      <c r="BJ645" t="s">
        <v>2748</v>
      </c>
      <c r="BK645" t="s">
        <v>97</v>
      </c>
      <c r="BL645" t="s">
        <v>2749</v>
      </c>
      <c r="BM645" t="s">
        <v>10779</v>
      </c>
      <c r="BN645" t="s">
        <v>74</v>
      </c>
      <c r="BO645" t="s">
        <v>74</v>
      </c>
      <c r="BP645" t="s">
        <v>74</v>
      </c>
      <c r="BQ645" t="s">
        <v>74</v>
      </c>
      <c r="BR645" t="s">
        <v>100</v>
      </c>
      <c r="BS645" t="s">
        <v>10793</v>
      </c>
      <c r="BT645" t="str">
        <f>HYPERLINK("https%3A%2F%2Fwww.webofscience.com%2Fwos%2Fwoscc%2Ffull-record%2FWOS:000252756100006","View Full Record in Web of Science")</f>
        <v>View Full Record in Web of Science</v>
      </c>
    </row>
    <row r="646" spans="1:72" x14ac:dyDescent="0.15">
      <c r="A646" t="s">
        <v>72</v>
      </c>
      <c r="B646" t="s">
        <v>10794</v>
      </c>
      <c r="C646" t="s">
        <v>74</v>
      </c>
      <c r="D646" t="s">
        <v>74</v>
      </c>
      <c r="E646" t="s">
        <v>74</v>
      </c>
      <c r="F646" t="s">
        <v>10795</v>
      </c>
      <c r="G646" t="s">
        <v>74</v>
      </c>
      <c r="H646" t="s">
        <v>74</v>
      </c>
      <c r="I646" t="s">
        <v>10796</v>
      </c>
      <c r="J646" t="s">
        <v>7859</v>
      </c>
      <c r="K646" t="s">
        <v>74</v>
      </c>
      <c r="L646" t="s">
        <v>74</v>
      </c>
      <c r="M646" t="s">
        <v>78</v>
      </c>
      <c r="N646" t="s">
        <v>79</v>
      </c>
      <c r="O646" t="s">
        <v>74</v>
      </c>
      <c r="P646" t="s">
        <v>74</v>
      </c>
      <c r="Q646" t="s">
        <v>74</v>
      </c>
      <c r="R646" t="s">
        <v>74</v>
      </c>
      <c r="S646" t="s">
        <v>74</v>
      </c>
      <c r="T646" t="s">
        <v>74</v>
      </c>
      <c r="U646" t="s">
        <v>10797</v>
      </c>
      <c r="V646" t="s">
        <v>10798</v>
      </c>
      <c r="W646" t="s">
        <v>10799</v>
      </c>
      <c r="X646" t="s">
        <v>10800</v>
      </c>
      <c r="Y646" t="s">
        <v>10801</v>
      </c>
      <c r="Z646" t="s">
        <v>10802</v>
      </c>
      <c r="AA646" t="s">
        <v>74</v>
      </c>
      <c r="AB646" t="s">
        <v>10803</v>
      </c>
      <c r="AC646" t="s">
        <v>74</v>
      </c>
      <c r="AD646" t="s">
        <v>74</v>
      </c>
      <c r="AE646" t="s">
        <v>74</v>
      </c>
      <c r="AF646" t="s">
        <v>74</v>
      </c>
      <c r="AG646">
        <v>59</v>
      </c>
      <c r="AH646">
        <v>23</v>
      </c>
      <c r="AI646">
        <v>23</v>
      </c>
      <c r="AJ646">
        <v>1</v>
      </c>
      <c r="AK646">
        <v>8</v>
      </c>
      <c r="AL646" t="s">
        <v>521</v>
      </c>
      <c r="AM646" t="s">
        <v>522</v>
      </c>
      <c r="AN646" t="s">
        <v>523</v>
      </c>
      <c r="AO646" t="s">
        <v>7868</v>
      </c>
      <c r="AP646" t="s">
        <v>74</v>
      </c>
      <c r="AQ646" t="s">
        <v>74</v>
      </c>
      <c r="AR646" t="s">
        <v>7869</v>
      </c>
      <c r="AS646" t="s">
        <v>7870</v>
      </c>
      <c r="AT646" t="s">
        <v>9266</v>
      </c>
      <c r="AU646">
        <v>2007</v>
      </c>
      <c r="AV646">
        <v>26</v>
      </c>
      <c r="AW646" t="s">
        <v>10777</v>
      </c>
      <c r="AX646" t="s">
        <v>74</v>
      </c>
      <c r="AY646" t="s">
        <v>74</v>
      </c>
      <c r="AZ646" t="s">
        <v>74</v>
      </c>
      <c r="BA646" t="s">
        <v>74</v>
      </c>
      <c r="BB646">
        <v>3150</v>
      </c>
      <c r="BC646">
        <v>3166</v>
      </c>
      <c r="BD646" t="s">
        <v>74</v>
      </c>
      <c r="BE646" t="s">
        <v>10804</v>
      </c>
      <c r="BF646" t="str">
        <f>HYPERLINK("http://dx.doi.org/10.1016/j.quascirev.2007.08.003","http://dx.doi.org/10.1016/j.quascirev.2007.08.003")</f>
        <v>http://dx.doi.org/10.1016/j.quascirev.2007.08.003</v>
      </c>
      <c r="BG646" t="s">
        <v>74</v>
      </c>
      <c r="BH646" t="s">
        <v>74</v>
      </c>
      <c r="BI646">
        <v>17</v>
      </c>
      <c r="BJ646" t="s">
        <v>2748</v>
      </c>
      <c r="BK646" t="s">
        <v>97</v>
      </c>
      <c r="BL646" t="s">
        <v>2749</v>
      </c>
      <c r="BM646" t="s">
        <v>10779</v>
      </c>
      <c r="BN646" t="s">
        <v>74</v>
      </c>
      <c r="BO646" t="s">
        <v>74</v>
      </c>
      <c r="BP646" t="s">
        <v>74</v>
      </c>
      <c r="BQ646" t="s">
        <v>74</v>
      </c>
      <c r="BR646" t="s">
        <v>100</v>
      </c>
      <c r="BS646" t="s">
        <v>10805</v>
      </c>
      <c r="BT646" t="str">
        <f>HYPERLINK("https%3A%2F%2Fwww.webofscience.com%2Fwos%2Fwoscc%2Ffull-record%2FWOS:000252756100014","View Full Record in Web of Science")</f>
        <v>View Full Record in Web of Science</v>
      </c>
    </row>
    <row r="647" spans="1:72" x14ac:dyDescent="0.15">
      <c r="A647" t="s">
        <v>72</v>
      </c>
      <c r="B647" t="s">
        <v>10806</v>
      </c>
      <c r="C647" t="s">
        <v>74</v>
      </c>
      <c r="D647" t="s">
        <v>74</v>
      </c>
      <c r="E647" t="s">
        <v>74</v>
      </c>
      <c r="F647" t="s">
        <v>10807</v>
      </c>
      <c r="G647" t="s">
        <v>74</v>
      </c>
      <c r="H647" t="s">
        <v>74</v>
      </c>
      <c r="I647" t="s">
        <v>10808</v>
      </c>
      <c r="J647" t="s">
        <v>7859</v>
      </c>
      <c r="K647" t="s">
        <v>74</v>
      </c>
      <c r="L647" t="s">
        <v>74</v>
      </c>
      <c r="M647" t="s">
        <v>78</v>
      </c>
      <c r="N647" t="s">
        <v>79</v>
      </c>
      <c r="O647" t="s">
        <v>74</v>
      </c>
      <c r="P647" t="s">
        <v>74</v>
      </c>
      <c r="Q647" t="s">
        <v>74</v>
      </c>
      <c r="R647" t="s">
        <v>74</v>
      </c>
      <c r="S647" t="s">
        <v>74</v>
      </c>
      <c r="T647" t="s">
        <v>74</v>
      </c>
      <c r="U647" t="s">
        <v>10809</v>
      </c>
      <c r="V647" t="s">
        <v>10810</v>
      </c>
      <c r="W647" t="s">
        <v>10811</v>
      </c>
      <c r="X647" t="s">
        <v>10812</v>
      </c>
      <c r="Y647" t="s">
        <v>10813</v>
      </c>
      <c r="Z647" t="s">
        <v>10814</v>
      </c>
      <c r="AA647" t="s">
        <v>10815</v>
      </c>
      <c r="AB647" t="s">
        <v>74</v>
      </c>
      <c r="AC647" t="s">
        <v>74</v>
      </c>
      <c r="AD647" t="s">
        <v>74</v>
      </c>
      <c r="AE647" t="s">
        <v>74</v>
      </c>
      <c r="AF647" t="s">
        <v>74</v>
      </c>
      <c r="AG647">
        <v>66</v>
      </c>
      <c r="AH647">
        <v>105</v>
      </c>
      <c r="AI647">
        <v>121</v>
      </c>
      <c r="AJ647">
        <v>0</v>
      </c>
      <c r="AK647">
        <v>15</v>
      </c>
      <c r="AL647" t="s">
        <v>521</v>
      </c>
      <c r="AM647" t="s">
        <v>522</v>
      </c>
      <c r="AN647" t="s">
        <v>523</v>
      </c>
      <c r="AO647" t="s">
        <v>7868</v>
      </c>
      <c r="AP647" t="s">
        <v>74</v>
      </c>
      <c r="AQ647" t="s">
        <v>74</v>
      </c>
      <c r="AR647" t="s">
        <v>7869</v>
      </c>
      <c r="AS647" t="s">
        <v>7870</v>
      </c>
      <c r="AT647" t="s">
        <v>9266</v>
      </c>
      <c r="AU647">
        <v>2007</v>
      </c>
      <c r="AV647">
        <v>26</v>
      </c>
      <c r="AW647" t="s">
        <v>10777</v>
      </c>
      <c r="AX647" t="s">
        <v>74</v>
      </c>
      <c r="AY647" t="s">
        <v>74</v>
      </c>
      <c r="AZ647" t="s">
        <v>74</v>
      </c>
      <c r="BA647" t="s">
        <v>74</v>
      </c>
      <c r="BB647">
        <v>3286</v>
      </c>
      <c r="BC647">
        <v>3297</v>
      </c>
      <c r="BD647" t="s">
        <v>74</v>
      </c>
      <c r="BE647" t="s">
        <v>10816</v>
      </c>
      <c r="BF647" t="str">
        <f>HYPERLINK("http://dx.doi.org/10.1016/j.quascirev.2007.07.012","http://dx.doi.org/10.1016/j.quascirev.2007.07.012")</f>
        <v>http://dx.doi.org/10.1016/j.quascirev.2007.07.012</v>
      </c>
      <c r="BG647" t="s">
        <v>74</v>
      </c>
      <c r="BH647" t="s">
        <v>74</v>
      </c>
      <c r="BI647">
        <v>12</v>
      </c>
      <c r="BJ647" t="s">
        <v>2748</v>
      </c>
      <c r="BK647" t="s">
        <v>97</v>
      </c>
      <c r="BL647" t="s">
        <v>2749</v>
      </c>
      <c r="BM647" t="s">
        <v>10779</v>
      </c>
      <c r="BN647" t="s">
        <v>74</v>
      </c>
      <c r="BO647" t="s">
        <v>74</v>
      </c>
      <c r="BP647" t="s">
        <v>74</v>
      </c>
      <c r="BQ647" t="s">
        <v>74</v>
      </c>
      <c r="BR647" t="s">
        <v>100</v>
      </c>
      <c r="BS647" t="s">
        <v>10817</v>
      </c>
      <c r="BT647" t="str">
        <f>HYPERLINK("https%3A%2F%2Fwww.webofscience.com%2Fwos%2Fwoscc%2Ffull-record%2FWOS:000252756100021","View Full Record in Web of Science")</f>
        <v>View Full Record in Web of Science</v>
      </c>
    </row>
    <row r="648" spans="1:72" x14ac:dyDescent="0.15">
      <c r="A648" t="s">
        <v>72</v>
      </c>
      <c r="B648" t="s">
        <v>10818</v>
      </c>
      <c r="C648" t="s">
        <v>74</v>
      </c>
      <c r="D648" t="s">
        <v>74</v>
      </c>
      <c r="E648" t="s">
        <v>74</v>
      </c>
      <c r="F648" t="s">
        <v>10819</v>
      </c>
      <c r="G648" t="s">
        <v>74</v>
      </c>
      <c r="H648" t="s">
        <v>6941</v>
      </c>
      <c r="I648" t="s">
        <v>10820</v>
      </c>
      <c r="J648" t="s">
        <v>10821</v>
      </c>
      <c r="K648" t="s">
        <v>74</v>
      </c>
      <c r="L648" t="s">
        <v>74</v>
      </c>
      <c r="M648" t="s">
        <v>78</v>
      </c>
      <c r="N648" t="s">
        <v>79</v>
      </c>
      <c r="O648" t="s">
        <v>74</v>
      </c>
      <c r="P648" t="s">
        <v>74</v>
      </c>
      <c r="Q648" t="s">
        <v>74</v>
      </c>
      <c r="R648" t="s">
        <v>74</v>
      </c>
      <c r="S648" t="s">
        <v>74</v>
      </c>
      <c r="T648" t="s">
        <v>10822</v>
      </c>
      <c r="U648" t="s">
        <v>10823</v>
      </c>
      <c r="V648" t="s">
        <v>10824</v>
      </c>
      <c r="W648" t="s">
        <v>10825</v>
      </c>
      <c r="X648" t="s">
        <v>10826</v>
      </c>
      <c r="Y648" t="s">
        <v>10827</v>
      </c>
      <c r="Z648" t="s">
        <v>74</v>
      </c>
      <c r="AA648" t="s">
        <v>74</v>
      </c>
      <c r="AB648" t="s">
        <v>74</v>
      </c>
      <c r="AC648" t="s">
        <v>10828</v>
      </c>
      <c r="AD648" t="s">
        <v>10829</v>
      </c>
      <c r="AE648" t="s">
        <v>10830</v>
      </c>
      <c r="AF648" t="s">
        <v>74</v>
      </c>
      <c r="AG648">
        <v>25</v>
      </c>
      <c r="AH648">
        <v>0</v>
      </c>
      <c r="AI648">
        <v>0</v>
      </c>
      <c r="AJ648">
        <v>0</v>
      </c>
      <c r="AK648">
        <v>0</v>
      </c>
      <c r="AL648" t="s">
        <v>10831</v>
      </c>
      <c r="AM648" t="s">
        <v>10832</v>
      </c>
      <c r="AN648" t="s">
        <v>10833</v>
      </c>
      <c r="AO648" t="s">
        <v>10834</v>
      </c>
      <c r="AP648" t="s">
        <v>74</v>
      </c>
      <c r="AQ648" t="s">
        <v>74</v>
      </c>
      <c r="AR648" t="s">
        <v>10835</v>
      </c>
      <c r="AS648" t="s">
        <v>10836</v>
      </c>
      <c r="AT648" t="s">
        <v>9266</v>
      </c>
      <c r="AU648">
        <v>2007</v>
      </c>
      <c r="AV648">
        <v>53</v>
      </c>
      <c r="AW648">
        <v>6</v>
      </c>
      <c r="AX648" t="s">
        <v>74</v>
      </c>
      <c r="AY648" t="s">
        <v>1199</v>
      </c>
      <c r="AZ648" t="s">
        <v>74</v>
      </c>
      <c r="BA648" t="s">
        <v>74</v>
      </c>
      <c r="BB648">
        <v>99</v>
      </c>
      <c r="BC648">
        <v>105</v>
      </c>
      <c r="BD648" t="s">
        <v>74</v>
      </c>
      <c r="BE648" t="s">
        <v>74</v>
      </c>
      <c r="BF648" t="s">
        <v>74</v>
      </c>
      <c r="BG648" t="s">
        <v>74</v>
      </c>
      <c r="BH648" t="s">
        <v>74</v>
      </c>
      <c r="BI648">
        <v>7</v>
      </c>
      <c r="BJ648" t="s">
        <v>812</v>
      </c>
      <c r="BK648" t="s">
        <v>97</v>
      </c>
      <c r="BL648" t="s">
        <v>813</v>
      </c>
      <c r="BM648" t="s">
        <v>10837</v>
      </c>
      <c r="BN648" t="s">
        <v>74</v>
      </c>
      <c r="BO648" t="s">
        <v>74</v>
      </c>
      <c r="BP648" t="s">
        <v>74</v>
      </c>
      <c r="BQ648" t="s">
        <v>74</v>
      </c>
      <c r="BR648" t="s">
        <v>100</v>
      </c>
      <c r="BS648" t="s">
        <v>10838</v>
      </c>
      <c r="BT648" t="str">
        <f>HYPERLINK("https%3A%2F%2Fwww.webofscience.com%2Fwos%2Fwoscc%2Ffull-record%2FWOS:000209358000018","View Full Record in Web of Science")</f>
        <v>View Full Record in Web of Science</v>
      </c>
    </row>
    <row r="649" spans="1:72" x14ac:dyDescent="0.15">
      <c r="A649" t="s">
        <v>72</v>
      </c>
      <c r="B649" t="s">
        <v>10839</v>
      </c>
      <c r="C649" t="s">
        <v>74</v>
      </c>
      <c r="D649" t="s">
        <v>74</v>
      </c>
      <c r="E649" t="s">
        <v>74</v>
      </c>
      <c r="F649" t="s">
        <v>10840</v>
      </c>
      <c r="G649" t="s">
        <v>74</v>
      </c>
      <c r="H649" t="s">
        <v>74</v>
      </c>
      <c r="I649" t="s">
        <v>10841</v>
      </c>
      <c r="J649" t="s">
        <v>7985</v>
      </c>
      <c r="K649" t="s">
        <v>74</v>
      </c>
      <c r="L649" t="s">
        <v>74</v>
      </c>
      <c r="M649" t="s">
        <v>78</v>
      </c>
      <c r="N649" t="s">
        <v>79</v>
      </c>
      <c r="O649" t="s">
        <v>74</v>
      </c>
      <c r="P649" t="s">
        <v>74</v>
      </c>
      <c r="Q649" t="s">
        <v>74</v>
      </c>
      <c r="R649" t="s">
        <v>74</v>
      </c>
      <c r="S649" t="s">
        <v>74</v>
      </c>
      <c r="T649" t="s">
        <v>10842</v>
      </c>
      <c r="U649" t="s">
        <v>74</v>
      </c>
      <c r="V649" t="s">
        <v>10843</v>
      </c>
      <c r="W649" t="s">
        <v>10844</v>
      </c>
      <c r="X649" t="s">
        <v>10845</v>
      </c>
      <c r="Y649" t="s">
        <v>10846</v>
      </c>
      <c r="Z649" t="s">
        <v>74</v>
      </c>
      <c r="AA649" t="s">
        <v>10847</v>
      </c>
      <c r="AB649" t="s">
        <v>10848</v>
      </c>
      <c r="AC649" t="s">
        <v>10849</v>
      </c>
      <c r="AD649" t="s">
        <v>937</v>
      </c>
      <c r="AE649" t="s">
        <v>10850</v>
      </c>
      <c r="AF649" t="s">
        <v>74</v>
      </c>
      <c r="AG649">
        <v>17</v>
      </c>
      <c r="AH649">
        <v>3</v>
      </c>
      <c r="AI649">
        <v>3</v>
      </c>
      <c r="AJ649">
        <v>0</v>
      </c>
      <c r="AK649">
        <v>0</v>
      </c>
      <c r="AL649" t="s">
        <v>7991</v>
      </c>
      <c r="AM649" t="s">
        <v>7992</v>
      </c>
      <c r="AN649" t="s">
        <v>7993</v>
      </c>
      <c r="AO649" t="s">
        <v>7994</v>
      </c>
      <c r="AP649" t="s">
        <v>74</v>
      </c>
      <c r="AQ649" t="s">
        <v>74</v>
      </c>
      <c r="AR649" t="s">
        <v>7995</v>
      </c>
      <c r="AS649" t="s">
        <v>7996</v>
      </c>
      <c r="AT649" t="s">
        <v>9266</v>
      </c>
      <c r="AU649">
        <v>2007</v>
      </c>
      <c r="AV649">
        <v>9</v>
      </c>
      <c r="AW649">
        <v>3</v>
      </c>
      <c r="AX649" t="s">
        <v>74</v>
      </c>
      <c r="AY649" t="s">
        <v>74</v>
      </c>
      <c r="AZ649" t="s">
        <v>74</v>
      </c>
      <c r="BA649" t="s">
        <v>74</v>
      </c>
      <c r="BB649" t="s">
        <v>74</v>
      </c>
      <c r="BC649" t="s">
        <v>74</v>
      </c>
      <c r="BD649" t="s">
        <v>10851</v>
      </c>
      <c r="BE649" t="s">
        <v>10852</v>
      </c>
      <c r="BF649" t="str">
        <f>HYPERLINK("http://dx.doi.org/10.2205/2007ES000283","http://dx.doi.org/10.2205/2007ES000283")</f>
        <v>http://dx.doi.org/10.2205/2007ES000283</v>
      </c>
      <c r="BG649" t="s">
        <v>74</v>
      </c>
      <c r="BH649" t="s">
        <v>74</v>
      </c>
      <c r="BI649">
        <v>6</v>
      </c>
      <c r="BJ649" t="s">
        <v>96</v>
      </c>
      <c r="BK649" t="s">
        <v>2166</v>
      </c>
      <c r="BL649" t="s">
        <v>98</v>
      </c>
      <c r="BM649" t="s">
        <v>10853</v>
      </c>
      <c r="BN649" t="s">
        <v>74</v>
      </c>
      <c r="BO649" t="s">
        <v>74</v>
      </c>
      <c r="BP649" t="s">
        <v>74</v>
      </c>
      <c r="BQ649" t="s">
        <v>74</v>
      </c>
      <c r="BR649" t="s">
        <v>100</v>
      </c>
      <c r="BS649" t="s">
        <v>10854</v>
      </c>
      <c r="BT649" t="str">
        <f>HYPERLINK("https%3A%2F%2Fwww.webofscience.com%2Fwos%2Fwoscc%2Ffull-record%2FWOS:000420745800004","View Full Record in Web of Science")</f>
        <v>View Full Record in Web of Science</v>
      </c>
    </row>
    <row r="650" spans="1:72" x14ac:dyDescent="0.15">
      <c r="A650" t="s">
        <v>72</v>
      </c>
      <c r="B650" t="s">
        <v>10855</v>
      </c>
      <c r="C650" t="s">
        <v>74</v>
      </c>
      <c r="D650" t="s">
        <v>74</v>
      </c>
      <c r="E650" t="s">
        <v>74</v>
      </c>
      <c r="F650" t="s">
        <v>10856</v>
      </c>
      <c r="G650" t="s">
        <v>74</v>
      </c>
      <c r="H650" t="s">
        <v>74</v>
      </c>
      <c r="I650" t="s">
        <v>10857</v>
      </c>
      <c r="J650" t="s">
        <v>10858</v>
      </c>
      <c r="K650" t="s">
        <v>74</v>
      </c>
      <c r="L650" t="s">
        <v>74</v>
      </c>
      <c r="M650" t="s">
        <v>78</v>
      </c>
      <c r="N650" t="s">
        <v>79</v>
      </c>
      <c r="O650" t="s">
        <v>74</v>
      </c>
      <c r="P650" t="s">
        <v>74</v>
      </c>
      <c r="Q650" t="s">
        <v>74</v>
      </c>
      <c r="R650" t="s">
        <v>74</v>
      </c>
      <c r="S650" t="s">
        <v>74</v>
      </c>
      <c r="T650" t="s">
        <v>10859</v>
      </c>
      <c r="U650" t="s">
        <v>10860</v>
      </c>
      <c r="V650" t="s">
        <v>10861</v>
      </c>
      <c r="W650" t="s">
        <v>10862</v>
      </c>
      <c r="X650" t="s">
        <v>10863</v>
      </c>
      <c r="Y650" t="s">
        <v>10864</v>
      </c>
      <c r="Z650" t="s">
        <v>10865</v>
      </c>
      <c r="AA650" t="s">
        <v>10866</v>
      </c>
      <c r="AB650" t="s">
        <v>10867</v>
      </c>
      <c r="AC650" t="s">
        <v>74</v>
      </c>
      <c r="AD650" t="s">
        <v>74</v>
      </c>
      <c r="AE650" t="s">
        <v>74</v>
      </c>
      <c r="AF650" t="s">
        <v>74</v>
      </c>
      <c r="AG650">
        <v>34</v>
      </c>
      <c r="AH650">
        <v>3</v>
      </c>
      <c r="AI650">
        <v>3</v>
      </c>
      <c r="AJ650">
        <v>0</v>
      </c>
      <c r="AK650">
        <v>3</v>
      </c>
      <c r="AL650" t="s">
        <v>10868</v>
      </c>
      <c r="AM650" t="s">
        <v>10869</v>
      </c>
      <c r="AN650" t="s">
        <v>10870</v>
      </c>
      <c r="AO650" t="s">
        <v>10871</v>
      </c>
      <c r="AP650" t="s">
        <v>10872</v>
      </c>
      <c r="AQ650" t="s">
        <v>74</v>
      </c>
      <c r="AR650" t="s">
        <v>10873</v>
      </c>
      <c r="AS650" t="s">
        <v>10874</v>
      </c>
      <c r="AT650" t="s">
        <v>9266</v>
      </c>
      <c r="AU650">
        <v>2007</v>
      </c>
      <c r="AV650">
        <v>71</v>
      </c>
      <c r="AW650">
        <v>4</v>
      </c>
      <c r="AX650" t="s">
        <v>74</v>
      </c>
      <c r="AY650" t="s">
        <v>74</v>
      </c>
      <c r="AZ650" t="s">
        <v>74</v>
      </c>
      <c r="BA650" t="s">
        <v>74</v>
      </c>
      <c r="BB650">
        <v>699</v>
      </c>
      <c r="BC650">
        <v>704</v>
      </c>
      <c r="BD650" t="s">
        <v>74</v>
      </c>
      <c r="BE650" t="s">
        <v>10875</v>
      </c>
      <c r="BF650" t="str">
        <f>HYPERLINK("http://dx.doi.org/10.3989/scimar.2007.71n4699","http://dx.doi.org/10.3989/scimar.2007.71n4699")</f>
        <v>http://dx.doi.org/10.3989/scimar.2007.71n4699</v>
      </c>
      <c r="BG650" t="s">
        <v>74</v>
      </c>
      <c r="BH650" t="s">
        <v>74</v>
      </c>
      <c r="BI650">
        <v>6</v>
      </c>
      <c r="BJ650" t="s">
        <v>2015</v>
      </c>
      <c r="BK650" t="s">
        <v>97</v>
      </c>
      <c r="BL650" t="s">
        <v>2015</v>
      </c>
      <c r="BM650" t="s">
        <v>10876</v>
      </c>
      <c r="BN650" t="s">
        <v>74</v>
      </c>
      <c r="BO650" t="s">
        <v>8177</v>
      </c>
      <c r="BP650" t="s">
        <v>74</v>
      </c>
      <c r="BQ650" t="s">
        <v>74</v>
      </c>
      <c r="BR650" t="s">
        <v>100</v>
      </c>
      <c r="BS650" t="s">
        <v>10877</v>
      </c>
      <c r="BT650" t="str">
        <f>HYPERLINK("https%3A%2F%2Fwww.webofscience.com%2Fwos%2Fwoscc%2Ffull-record%2FWOS:000252141500007","View Full Record in Web of Science")</f>
        <v>View Full Record in Web of Science</v>
      </c>
    </row>
    <row r="651" spans="1:72" x14ac:dyDescent="0.15">
      <c r="A651" t="s">
        <v>72</v>
      </c>
      <c r="B651" t="s">
        <v>10878</v>
      </c>
      <c r="C651" t="s">
        <v>74</v>
      </c>
      <c r="D651" t="s">
        <v>74</v>
      </c>
      <c r="E651" t="s">
        <v>74</v>
      </c>
      <c r="F651" t="s">
        <v>10879</v>
      </c>
      <c r="G651" t="s">
        <v>74</v>
      </c>
      <c r="H651" t="s">
        <v>74</v>
      </c>
      <c r="I651" t="s">
        <v>10880</v>
      </c>
      <c r="J651" t="s">
        <v>10881</v>
      </c>
      <c r="K651" t="s">
        <v>74</v>
      </c>
      <c r="L651" t="s">
        <v>74</v>
      </c>
      <c r="M651" t="s">
        <v>78</v>
      </c>
      <c r="N651" t="s">
        <v>79</v>
      </c>
      <c r="O651" t="s">
        <v>74</v>
      </c>
      <c r="P651" t="s">
        <v>74</v>
      </c>
      <c r="Q651" t="s">
        <v>74</v>
      </c>
      <c r="R651" t="s">
        <v>74</v>
      </c>
      <c r="S651" t="s">
        <v>74</v>
      </c>
      <c r="T651" t="s">
        <v>10882</v>
      </c>
      <c r="U651" t="s">
        <v>10883</v>
      </c>
      <c r="V651" t="s">
        <v>10884</v>
      </c>
      <c r="W651" t="s">
        <v>10885</v>
      </c>
      <c r="X651" t="s">
        <v>10886</v>
      </c>
      <c r="Y651" t="s">
        <v>10887</v>
      </c>
      <c r="Z651" t="s">
        <v>10888</v>
      </c>
      <c r="AA651" t="s">
        <v>10889</v>
      </c>
      <c r="AB651" t="s">
        <v>10890</v>
      </c>
      <c r="AC651" t="s">
        <v>74</v>
      </c>
      <c r="AD651" t="s">
        <v>74</v>
      </c>
      <c r="AE651" t="s">
        <v>74</v>
      </c>
      <c r="AF651" t="s">
        <v>74</v>
      </c>
      <c r="AG651">
        <v>33</v>
      </c>
      <c r="AH651">
        <v>0</v>
      </c>
      <c r="AI651">
        <v>0</v>
      </c>
      <c r="AJ651">
        <v>0</v>
      </c>
      <c r="AK651">
        <v>0</v>
      </c>
      <c r="AL651" t="s">
        <v>10891</v>
      </c>
      <c r="AM651" t="s">
        <v>7242</v>
      </c>
      <c r="AN651" t="s">
        <v>10892</v>
      </c>
      <c r="AO651" t="s">
        <v>10893</v>
      </c>
      <c r="AP651" t="s">
        <v>74</v>
      </c>
      <c r="AQ651" t="s">
        <v>74</v>
      </c>
      <c r="AR651" t="s">
        <v>10894</v>
      </c>
      <c r="AS651" t="s">
        <v>10895</v>
      </c>
      <c r="AT651" t="s">
        <v>10896</v>
      </c>
      <c r="AU651">
        <v>2007</v>
      </c>
      <c r="AV651">
        <v>18</v>
      </c>
      <c r="AW651">
        <v>4</v>
      </c>
      <c r="AX651" t="s">
        <v>74</v>
      </c>
      <c r="AY651" t="s">
        <v>74</v>
      </c>
      <c r="AZ651" t="s">
        <v>74</v>
      </c>
      <c r="BA651" t="s">
        <v>74</v>
      </c>
      <c r="BB651">
        <v>258</v>
      </c>
      <c r="BC651">
        <v>263</v>
      </c>
      <c r="BD651" t="s">
        <v>74</v>
      </c>
      <c r="BE651" t="s">
        <v>10897</v>
      </c>
      <c r="BF651" t="str">
        <f>HYPERLINK("http://dx.doi.org/10.1580/06-WEME-OR-004R3.1","http://dx.doi.org/10.1580/06-WEME-OR-004R3.1")</f>
        <v>http://dx.doi.org/10.1580/06-WEME-OR-004R3.1</v>
      </c>
      <c r="BG651" t="s">
        <v>74</v>
      </c>
      <c r="BH651" t="s">
        <v>74</v>
      </c>
      <c r="BI651">
        <v>6</v>
      </c>
      <c r="BJ651" t="s">
        <v>10898</v>
      </c>
      <c r="BK651" t="s">
        <v>97</v>
      </c>
      <c r="BL651" t="s">
        <v>10898</v>
      </c>
      <c r="BM651" t="s">
        <v>10899</v>
      </c>
      <c r="BN651">
        <v>18076290</v>
      </c>
      <c r="BO651" t="s">
        <v>179</v>
      </c>
      <c r="BP651" t="s">
        <v>74</v>
      </c>
      <c r="BQ651" t="s">
        <v>74</v>
      </c>
      <c r="BR651" t="s">
        <v>100</v>
      </c>
      <c r="BS651" t="s">
        <v>10900</v>
      </c>
      <c r="BT651" t="str">
        <f>HYPERLINK("https%3A%2F%2Fwww.webofscience.com%2Fwos%2Fwoscc%2Ffull-record%2FWOS:000251839900002","View Full Record in Web of Science")</f>
        <v>View Full Record in Web of Science</v>
      </c>
    </row>
    <row r="652" spans="1:72" x14ac:dyDescent="0.15">
      <c r="A652" t="s">
        <v>72</v>
      </c>
      <c r="B652" t="s">
        <v>10901</v>
      </c>
      <c r="C652" t="s">
        <v>74</v>
      </c>
      <c r="D652" t="s">
        <v>74</v>
      </c>
      <c r="E652" t="s">
        <v>74</v>
      </c>
      <c r="F652" t="s">
        <v>10902</v>
      </c>
      <c r="G652" t="s">
        <v>74</v>
      </c>
      <c r="H652" t="s">
        <v>74</v>
      </c>
      <c r="I652" t="s">
        <v>10903</v>
      </c>
      <c r="J652" t="s">
        <v>10904</v>
      </c>
      <c r="K652" t="s">
        <v>74</v>
      </c>
      <c r="L652" t="s">
        <v>74</v>
      </c>
      <c r="M652" t="s">
        <v>78</v>
      </c>
      <c r="N652" t="s">
        <v>79</v>
      </c>
      <c r="O652" t="s">
        <v>74</v>
      </c>
      <c r="P652" t="s">
        <v>74</v>
      </c>
      <c r="Q652" t="s">
        <v>74</v>
      </c>
      <c r="R652" t="s">
        <v>74</v>
      </c>
      <c r="S652" t="s">
        <v>74</v>
      </c>
      <c r="T652" t="s">
        <v>10905</v>
      </c>
      <c r="U652" t="s">
        <v>10906</v>
      </c>
      <c r="V652" t="s">
        <v>10907</v>
      </c>
      <c r="W652" t="s">
        <v>10908</v>
      </c>
      <c r="X652" t="s">
        <v>9438</v>
      </c>
      <c r="Y652" t="s">
        <v>10909</v>
      </c>
      <c r="Z652" t="s">
        <v>10910</v>
      </c>
      <c r="AA652" t="s">
        <v>10911</v>
      </c>
      <c r="AB652" t="s">
        <v>10912</v>
      </c>
      <c r="AC652" t="s">
        <v>74</v>
      </c>
      <c r="AD652" t="s">
        <v>74</v>
      </c>
      <c r="AE652" t="s">
        <v>74</v>
      </c>
      <c r="AF652" t="s">
        <v>74</v>
      </c>
      <c r="AG652">
        <v>41</v>
      </c>
      <c r="AH652">
        <v>31</v>
      </c>
      <c r="AI652">
        <v>32</v>
      </c>
      <c r="AJ652">
        <v>1</v>
      </c>
      <c r="AK652">
        <v>11</v>
      </c>
      <c r="AL652" t="s">
        <v>506</v>
      </c>
      <c r="AM652" t="s">
        <v>266</v>
      </c>
      <c r="AN652" t="s">
        <v>507</v>
      </c>
      <c r="AO652" t="s">
        <v>10913</v>
      </c>
      <c r="AP652" t="s">
        <v>74</v>
      </c>
      <c r="AQ652" t="s">
        <v>74</v>
      </c>
      <c r="AR652" t="s">
        <v>10914</v>
      </c>
      <c r="AS652" t="s">
        <v>10915</v>
      </c>
      <c r="AT652" t="s">
        <v>10916</v>
      </c>
      <c r="AU652">
        <v>2007</v>
      </c>
      <c r="AV652">
        <v>256</v>
      </c>
      <c r="AW652" t="s">
        <v>551</v>
      </c>
      <c r="AX652" t="s">
        <v>74</v>
      </c>
      <c r="AY652" t="s">
        <v>74</v>
      </c>
      <c r="AZ652" t="s">
        <v>74</v>
      </c>
      <c r="BA652" t="s">
        <v>74</v>
      </c>
      <c r="BB652">
        <v>86</v>
      </c>
      <c r="BC652">
        <v>98</v>
      </c>
      <c r="BD652" t="s">
        <v>74</v>
      </c>
      <c r="BE652" t="s">
        <v>10917</v>
      </c>
      <c r="BF652" t="str">
        <f>HYPERLINK("http://dx.doi.org/10.1016/j.palaeo.2007.09.007","http://dx.doi.org/10.1016/j.palaeo.2007.09.007")</f>
        <v>http://dx.doi.org/10.1016/j.palaeo.2007.09.007</v>
      </c>
      <c r="BG652" t="s">
        <v>74</v>
      </c>
      <c r="BH652" t="s">
        <v>74</v>
      </c>
      <c r="BI652">
        <v>13</v>
      </c>
      <c r="BJ652" t="s">
        <v>10918</v>
      </c>
      <c r="BK652" t="s">
        <v>97</v>
      </c>
      <c r="BL652" t="s">
        <v>10919</v>
      </c>
      <c r="BM652" t="s">
        <v>10920</v>
      </c>
      <c r="BN652" t="s">
        <v>74</v>
      </c>
      <c r="BO652" t="s">
        <v>74</v>
      </c>
      <c r="BP652" t="s">
        <v>74</v>
      </c>
      <c r="BQ652" t="s">
        <v>74</v>
      </c>
      <c r="BR652" t="s">
        <v>100</v>
      </c>
      <c r="BS652" t="s">
        <v>10921</v>
      </c>
      <c r="BT652" t="str">
        <f>HYPERLINK("https%3A%2F%2Fwww.webofscience.com%2Fwos%2Fwoscc%2Ffull-record%2FWOS:000251790000005","View Full Record in Web of Science")</f>
        <v>View Full Record in Web of Science</v>
      </c>
    </row>
    <row r="653" spans="1:72" x14ac:dyDescent="0.15">
      <c r="A653" t="s">
        <v>72</v>
      </c>
      <c r="B653" t="s">
        <v>10922</v>
      </c>
      <c r="C653" t="s">
        <v>74</v>
      </c>
      <c r="D653" t="s">
        <v>74</v>
      </c>
      <c r="E653" t="s">
        <v>74</v>
      </c>
      <c r="F653" t="s">
        <v>10923</v>
      </c>
      <c r="G653" t="s">
        <v>74</v>
      </c>
      <c r="H653" t="s">
        <v>74</v>
      </c>
      <c r="I653" t="s">
        <v>10924</v>
      </c>
      <c r="J653" t="s">
        <v>10925</v>
      </c>
      <c r="K653" t="s">
        <v>74</v>
      </c>
      <c r="L653" t="s">
        <v>74</v>
      </c>
      <c r="M653" t="s">
        <v>78</v>
      </c>
      <c r="N653" t="s">
        <v>79</v>
      </c>
      <c r="O653" t="s">
        <v>74</v>
      </c>
      <c r="P653" t="s">
        <v>74</v>
      </c>
      <c r="Q653" t="s">
        <v>74</v>
      </c>
      <c r="R653" t="s">
        <v>74</v>
      </c>
      <c r="S653" t="s">
        <v>74</v>
      </c>
      <c r="T653" t="s">
        <v>10926</v>
      </c>
      <c r="U653" t="s">
        <v>10927</v>
      </c>
      <c r="V653" t="s">
        <v>10928</v>
      </c>
      <c r="W653" t="s">
        <v>10929</v>
      </c>
      <c r="X653" t="s">
        <v>10930</v>
      </c>
      <c r="Y653" t="s">
        <v>10931</v>
      </c>
      <c r="Z653" t="s">
        <v>10932</v>
      </c>
      <c r="AA653" t="s">
        <v>74</v>
      </c>
      <c r="AB653" t="s">
        <v>74</v>
      </c>
      <c r="AC653" t="s">
        <v>74</v>
      </c>
      <c r="AD653" t="s">
        <v>74</v>
      </c>
      <c r="AE653" t="s">
        <v>74</v>
      </c>
      <c r="AF653" t="s">
        <v>74</v>
      </c>
      <c r="AG653">
        <v>31</v>
      </c>
      <c r="AH653">
        <v>20</v>
      </c>
      <c r="AI653">
        <v>24</v>
      </c>
      <c r="AJ653">
        <v>0</v>
      </c>
      <c r="AK653">
        <v>11</v>
      </c>
      <c r="AL653" t="s">
        <v>661</v>
      </c>
      <c r="AM653" t="s">
        <v>662</v>
      </c>
      <c r="AN653" t="s">
        <v>10933</v>
      </c>
      <c r="AO653" t="s">
        <v>10934</v>
      </c>
      <c r="AP653" t="s">
        <v>74</v>
      </c>
      <c r="AQ653" t="s">
        <v>74</v>
      </c>
      <c r="AR653" t="s">
        <v>10935</v>
      </c>
      <c r="AS653" t="s">
        <v>10936</v>
      </c>
      <c r="AT653" t="s">
        <v>10916</v>
      </c>
      <c r="AU653">
        <v>2007</v>
      </c>
      <c r="AV653">
        <v>111</v>
      </c>
      <c r="AW653" t="s">
        <v>272</v>
      </c>
      <c r="AX653" t="s">
        <v>74</v>
      </c>
      <c r="AY653" t="s">
        <v>74</v>
      </c>
      <c r="AZ653" t="s">
        <v>74</v>
      </c>
      <c r="BA653" t="s">
        <v>74</v>
      </c>
      <c r="BB653">
        <v>204</v>
      </c>
      <c r="BC653">
        <v>211</v>
      </c>
      <c r="BD653" t="s">
        <v>74</v>
      </c>
      <c r="BE653" t="s">
        <v>10937</v>
      </c>
      <c r="BF653" t="str">
        <f>HYPERLINK("http://dx.doi.org/10.1016/j.rse.2007.01.022","http://dx.doi.org/10.1016/j.rse.2007.01.022")</f>
        <v>http://dx.doi.org/10.1016/j.rse.2007.01.022</v>
      </c>
      <c r="BG653" t="s">
        <v>74</v>
      </c>
      <c r="BH653" t="s">
        <v>74</v>
      </c>
      <c r="BI653">
        <v>8</v>
      </c>
      <c r="BJ653" t="s">
        <v>5162</v>
      </c>
      <c r="BK653" t="s">
        <v>97</v>
      </c>
      <c r="BL653" t="s">
        <v>5163</v>
      </c>
      <c r="BM653" t="s">
        <v>10938</v>
      </c>
      <c r="BN653" t="s">
        <v>74</v>
      </c>
      <c r="BO653" t="s">
        <v>74</v>
      </c>
      <c r="BP653" t="s">
        <v>74</v>
      </c>
      <c r="BQ653" t="s">
        <v>74</v>
      </c>
      <c r="BR653" t="s">
        <v>100</v>
      </c>
      <c r="BS653" t="s">
        <v>10939</v>
      </c>
      <c r="BT653" t="str">
        <f>HYPERLINK("https%3A%2F%2Fwww.webofscience.com%2Fwos%2Fwoscc%2Ffull-record%2FWOS:000251178000008","View Full Record in Web of Science")</f>
        <v>View Full Record in Web of Science</v>
      </c>
    </row>
    <row r="654" spans="1:72" x14ac:dyDescent="0.15">
      <c r="A654" t="s">
        <v>72</v>
      </c>
      <c r="B654" t="s">
        <v>10940</v>
      </c>
      <c r="C654" t="s">
        <v>74</v>
      </c>
      <c r="D654" t="s">
        <v>74</v>
      </c>
      <c r="E654" t="s">
        <v>74</v>
      </c>
      <c r="F654" t="s">
        <v>10941</v>
      </c>
      <c r="G654" t="s">
        <v>74</v>
      </c>
      <c r="H654" t="s">
        <v>74</v>
      </c>
      <c r="I654" t="s">
        <v>10942</v>
      </c>
      <c r="J654" t="s">
        <v>10925</v>
      </c>
      <c r="K654" t="s">
        <v>74</v>
      </c>
      <c r="L654" t="s">
        <v>74</v>
      </c>
      <c r="M654" t="s">
        <v>78</v>
      </c>
      <c r="N654" t="s">
        <v>79</v>
      </c>
      <c r="O654" t="s">
        <v>74</v>
      </c>
      <c r="P654" t="s">
        <v>74</v>
      </c>
      <c r="Q654" t="s">
        <v>74</v>
      </c>
      <c r="R654" t="s">
        <v>74</v>
      </c>
      <c r="S654" t="s">
        <v>74</v>
      </c>
      <c r="T654" t="s">
        <v>10943</v>
      </c>
      <c r="U654" t="s">
        <v>10944</v>
      </c>
      <c r="V654" t="s">
        <v>10945</v>
      </c>
      <c r="W654" t="s">
        <v>10946</v>
      </c>
      <c r="X654" t="s">
        <v>10947</v>
      </c>
      <c r="Y654" t="s">
        <v>10948</v>
      </c>
      <c r="Z654" t="s">
        <v>10949</v>
      </c>
      <c r="AA654" t="s">
        <v>10950</v>
      </c>
      <c r="AB654" t="s">
        <v>10951</v>
      </c>
      <c r="AC654" t="s">
        <v>74</v>
      </c>
      <c r="AD654" t="s">
        <v>74</v>
      </c>
      <c r="AE654" t="s">
        <v>74</v>
      </c>
      <c r="AF654" t="s">
        <v>74</v>
      </c>
      <c r="AG654">
        <v>54</v>
      </c>
      <c r="AH654">
        <v>338</v>
      </c>
      <c r="AI654">
        <v>393</v>
      </c>
      <c r="AJ654">
        <v>2</v>
      </c>
      <c r="AK654">
        <v>90</v>
      </c>
      <c r="AL654" t="s">
        <v>661</v>
      </c>
      <c r="AM654" t="s">
        <v>662</v>
      </c>
      <c r="AN654" t="s">
        <v>663</v>
      </c>
      <c r="AO654" t="s">
        <v>10934</v>
      </c>
      <c r="AP654" t="s">
        <v>10952</v>
      </c>
      <c r="AQ654" t="s">
        <v>74</v>
      </c>
      <c r="AR654" t="s">
        <v>10935</v>
      </c>
      <c r="AS654" t="s">
        <v>10936</v>
      </c>
      <c r="AT654" t="s">
        <v>10916</v>
      </c>
      <c r="AU654">
        <v>2007</v>
      </c>
      <c r="AV654">
        <v>111</v>
      </c>
      <c r="AW654" t="s">
        <v>272</v>
      </c>
      <c r="AX654" t="s">
        <v>74</v>
      </c>
      <c r="AY654" t="s">
        <v>74</v>
      </c>
      <c r="AZ654" t="s">
        <v>74</v>
      </c>
      <c r="BA654" t="s">
        <v>74</v>
      </c>
      <c r="BB654">
        <v>242</v>
      </c>
      <c r="BC654">
        <v>257</v>
      </c>
      <c r="BD654" t="s">
        <v>74</v>
      </c>
      <c r="BE654" t="s">
        <v>10953</v>
      </c>
      <c r="BF654" t="str">
        <f>HYPERLINK("http://dx.doi.org/10.1016/j.rse.2006.12.020","http://dx.doi.org/10.1016/j.rse.2006.12.020")</f>
        <v>http://dx.doi.org/10.1016/j.rse.2006.12.020</v>
      </c>
      <c r="BG654" t="s">
        <v>74</v>
      </c>
      <c r="BH654" t="s">
        <v>74</v>
      </c>
      <c r="BI654">
        <v>16</v>
      </c>
      <c r="BJ654" t="s">
        <v>5162</v>
      </c>
      <c r="BK654" t="s">
        <v>97</v>
      </c>
      <c r="BL654" t="s">
        <v>5163</v>
      </c>
      <c r="BM654" t="s">
        <v>10938</v>
      </c>
      <c r="BN654" t="s">
        <v>74</v>
      </c>
      <c r="BO654" t="s">
        <v>74</v>
      </c>
      <c r="BP654" t="s">
        <v>74</v>
      </c>
      <c r="BQ654" t="s">
        <v>74</v>
      </c>
      <c r="BR654" t="s">
        <v>100</v>
      </c>
      <c r="BS654" t="s">
        <v>10954</v>
      </c>
      <c r="BT654" t="str">
        <f>HYPERLINK("https%3A%2F%2Fwww.webofscience.com%2Fwos%2Fwoscc%2Ffull-record%2FWOS:000251178000011","View Full Record in Web of Science")</f>
        <v>View Full Record in Web of Science</v>
      </c>
    </row>
    <row r="655" spans="1:72" x14ac:dyDescent="0.15">
      <c r="A655" t="s">
        <v>72</v>
      </c>
      <c r="B655" t="s">
        <v>10955</v>
      </c>
      <c r="C655" t="s">
        <v>74</v>
      </c>
      <c r="D655" t="s">
        <v>74</v>
      </c>
      <c r="E655" t="s">
        <v>74</v>
      </c>
      <c r="F655" t="s">
        <v>10956</v>
      </c>
      <c r="G655" t="s">
        <v>74</v>
      </c>
      <c r="H655" t="s">
        <v>74</v>
      </c>
      <c r="I655" t="s">
        <v>10957</v>
      </c>
      <c r="J655" t="s">
        <v>233</v>
      </c>
      <c r="K655" t="s">
        <v>74</v>
      </c>
      <c r="L655" t="s">
        <v>74</v>
      </c>
      <c r="M655" t="s">
        <v>78</v>
      </c>
      <c r="N655" t="s">
        <v>79</v>
      </c>
      <c r="O655" t="s">
        <v>74</v>
      </c>
      <c r="P655" t="s">
        <v>74</v>
      </c>
      <c r="Q655" t="s">
        <v>74</v>
      </c>
      <c r="R655" t="s">
        <v>74</v>
      </c>
      <c r="S655" t="s">
        <v>74</v>
      </c>
      <c r="T655" t="s">
        <v>74</v>
      </c>
      <c r="U655" t="s">
        <v>10958</v>
      </c>
      <c r="V655" t="s">
        <v>10959</v>
      </c>
      <c r="W655" t="s">
        <v>74</v>
      </c>
      <c r="X655" t="s">
        <v>74</v>
      </c>
      <c r="Y655" t="s">
        <v>10960</v>
      </c>
      <c r="Z655" t="s">
        <v>442</v>
      </c>
      <c r="AA655" t="s">
        <v>74</v>
      </c>
      <c r="AB655" t="s">
        <v>10961</v>
      </c>
      <c r="AC655" t="s">
        <v>443</v>
      </c>
      <c r="AD655" t="s">
        <v>444</v>
      </c>
      <c r="AE655" t="s">
        <v>74</v>
      </c>
      <c r="AF655" t="s">
        <v>74</v>
      </c>
      <c r="AG655">
        <v>20</v>
      </c>
      <c r="AH655">
        <v>69</v>
      </c>
      <c r="AI655">
        <v>70</v>
      </c>
      <c r="AJ655">
        <v>2</v>
      </c>
      <c r="AK655">
        <v>12</v>
      </c>
      <c r="AL655" t="s">
        <v>193</v>
      </c>
      <c r="AM655" t="s">
        <v>194</v>
      </c>
      <c r="AN655" t="s">
        <v>195</v>
      </c>
      <c r="AO655" t="s">
        <v>243</v>
      </c>
      <c r="AP655" t="s">
        <v>326</v>
      </c>
      <c r="AQ655" t="s">
        <v>74</v>
      </c>
      <c r="AR655" t="s">
        <v>244</v>
      </c>
      <c r="AS655" t="s">
        <v>245</v>
      </c>
      <c r="AT655" t="s">
        <v>10962</v>
      </c>
      <c r="AU655">
        <v>2007</v>
      </c>
      <c r="AV655">
        <v>34</v>
      </c>
      <c r="AW655">
        <v>22</v>
      </c>
      <c r="AX655" t="s">
        <v>74</v>
      </c>
      <c r="AY655" t="s">
        <v>74</v>
      </c>
      <c r="AZ655" t="s">
        <v>74</v>
      </c>
      <c r="BA655" t="s">
        <v>74</v>
      </c>
      <c r="BB655" t="s">
        <v>74</v>
      </c>
      <c r="BC655" t="s">
        <v>74</v>
      </c>
      <c r="BD655" t="s">
        <v>10963</v>
      </c>
      <c r="BE655" t="s">
        <v>10964</v>
      </c>
      <c r="BF655" t="str">
        <f>HYPERLINK("http://dx.doi.org/10.1029/2007GL031648","http://dx.doi.org/10.1029/2007GL031648")</f>
        <v>http://dx.doi.org/10.1029/2007GL031648</v>
      </c>
      <c r="BG655" t="s">
        <v>74</v>
      </c>
      <c r="BH655" t="s">
        <v>74</v>
      </c>
      <c r="BI655">
        <v>6</v>
      </c>
      <c r="BJ655" t="s">
        <v>96</v>
      </c>
      <c r="BK655" t="s">
        <v>97</v>
      </c>
      <c r="BL655" t="s">
        <v>98</v>
      </c>
      <c r="BM655" t="s">
        <v>10965</v>
      </c>
      <c r="BN655" t="s">
        <v>74</v>
      </c>
      <c r="BO655" t="s">
        <v>74</v>
      </c>
      <c r="BP655" t="s">
        <v>74</v>
      </c>
      <c r="BQ655" t="s">
        <v>74</v>
      </c>
      <c r="BR655" t="s">
        <v>100</v>
      </c>
      <c r="BS655" t="s">
        <v>10966</v>
      </c>
      <c r="BT655" t="str">
        <f>HYPERLINK("https%3A%2F%2Fwww.webofscience.com%2Fwos%2Fwoscc%2Ffull-record%2FWOS:000251345100006","View Full Record in Web of Science")</f>
        <v>View Full Record in Web of Science</v>
      </c>
    </row>
    <row r="656" spans="1:72" x14ac:dyDescent="0.15">
      <c r="A656" t="s">
        <v>72</v>
      </c>
      <c r="B656" t="s">
        <v>10967</v>
      </c>
      <c r="C656" t="s">
        <v>74</v>
      </c>
      <c r="D656" t="s">
        <v>74</v>
      </c>
      <c r="E656" t="s">
        <v>74</v>
      </c>
      <c r="F656" t="s">
        <v>10968</v>
      </c>
      <c r="G656" t="s">
        <v>74</v>
      </c>
      <c r="H656" t="s">
        <v>74</v>
      </c>
      <c r="I656" t="s">
        <v>10969</v>
      </c>
      <c r="J656" t="s">
        <v>8675</v>
      </c>
      <c r="K656" t="s">
        <v>74</v>
      </c>
      <c r="L656" t="s">
        <v>74</v>
      </c>
      <c r="M656" t="s">
        <v>78</v>
      </c>
      <c r="N656" t="s">
        <v>106</v>
      </c>
      <c r="O656" t="s">
        <v>74</v>
      </c>
      <c r="P656" t="s">
        <v>74</v>
      </c>
      <c r="Q656" t="s">
        <v>74</v>
      </c>
      <c r="R656" t="s">
        <v>74</v>
      </c>
      <c r="S656" t="s">
        <v>74</v>
      </c>
      <c r="T656" t="s">
        <v>10970</v>
      </c>
      <c r="U656" t="s">
        <v>10971</v>
      </c>
      <c r="V656" t="s">
        <v>10972</v>
      </c>
      <c r="W656" t="s">
        <v>10973</v>
      </c>
      <c r="X656" t="s">
        <v>10974</v>
      </c>
      <c r="Y656" t="s">
        <v>10975</v>
      </c>
      <c r="Z656" t="s">
        <v>10976</v>
      </c>
      <c r="AA656" t="s">
        <v>74</v>
      </c>
      <c r="AB656" t="s">
        <v>74</v>
      </c>
      <c r="AC656" t="s">
        <v>74</v>
      </c>
      <c r="AD656" t="s">
        <v>74</v>
      </c>
      <c r="AE656" t="s">
        <v>74</v>
      </c>
      <c r="AF656" t="s">
        <v>74</v>
      </c>
      <c r="AG656">
        <v>180</v>
      </c>
      <c r="AH656">
        <v>69</v>
      </c>
      <c r="AI656">
        <v>84</v>
      </c>
      <c r="AJ656">
        <v>3</v>
      </c>
      <c r="AK656">
        <v>63</v>
      </c>
      <c r="AL656" t="s">
        <v>8681</v>
      </c>
      <c r="AM656" t="s">
        <v>118</v>
      </c>
      <c r="AN656" t="s">
        <v>8682</v>
      </c>
      <c r="AO656" t="s">
        <v>8683</v>
      </c>
      <c r="AP656" t="s">
        <v>8684</v>
      </c>
      <c r="AQ656" t="s">
        <v>74</v>
      </c>
      <c r="AR656" t="s">
        <v>8685</v>
      </c>
      <c r="AS656" t="s">
        <v>8686</v>
      </c>
      <c r="AT656" t="s">
        <v>10962</v>
      </c>
      <c r="AU656">
        <v>2007</v>
      </c>
      <c r="AV656">
        <v>362</v>
      </c>
      <c r="AW656">
        <v>1487</v>
      </c>
      <c r="AX656" t="s">
        <v>74</v>
      </c>
      <c r="AY656" t="s">
        <v>74</v>
      </c>
      <c r="AZ656" t="s">
        <v>74</v>
      </c>
      <c r="BA656" t="s">
        <v>74</v>
      </c>
      <c r="BB656">
        <v>2151</v>
      </c>
      <c r="BC656">
        <v>2168</v>
      </c>
      <c r="BD656" t="s">
        <v>74</v>
      </c>
      <c r="BE656" t="s">
        <v>10977</v>
      </c>
      <c r="BF656" t="str">
        <f>HYPERLINK("http://dx.doi.org/10.1098/rstb.2007.2108","http://dx.doi.org/10.1098/rstb.2007.2108")</f>
        <v>http://dx.doi.org/10.1098/rstb.2007.2108</v>
      </c>
      <c r="BG656" t="s">
        <v>74</v>
      </c>
      <c r="BH656" t="s">
        <v>74</v>
      </c>
      <c r="BI656">
        <v>18</v>
      </c>
      <c r="BJ656" t="s">
        <v>4848</v>
      </c>
      <c r="BK656" t="s">
        <v>97</v>
      </c>
      <c r="BL656" t="s">
        <v>4849</v>
      </c>
      <c r="BM656" t="s">
        <v>10978</v>
      </c>
      <c r="BN656">
        <v>17472918</v>
      </c>
      <c r="BO656" t="s">
        <v>3777</v>
      </c>
      <c r="BP656" t="s">
        <v>74</v>
      </c>
      <c r="BQ656" t="s">
        <v>74</v>
      </c>
      <c r="BR656" t="s">
        <v>100</v>
      </c>
      <c r="BS656" t="s">
        <v>10979</v>
      </c>
      <c r="BT656" t="str">
        <f>HYPERLINK("https%3A%2F%2Fwww.webofscience.com%2Fwos%2Fwoscc%2Ffull-record%2FWOS:000250224500017","View Full Record in Web of Science")</f>
        <v>View Full Record in Web of Science</v>
      </c>
    </row>
    <row r="657" spans="1:72" x14ac:dyDescent="0.15">
      <c r="A657" t="s">
        <v>72</v>
      </c>
      <c r="B657" t="s">
        <v>10980</v>
      </c>
      <c r="C657" t="s">
        <v>74</v>
      </c>
      <c r="D657" t="s">
        <v>74</v>
      </c>
      <c r="E657" t="s">
        <v>74</v>
      </c>
      <c r="F657" t="s">
        <v>10981</v>
      </c>
      <c r="G657" t="s">
        <v>74</v>
      </c>
      <c r="H657" t="s">
        <v>74</v>
      </c>
      <c r="I657" t="s">
        <v>10982</v>
      </c>
      <c r="J657" t="s">
        <v>8675</v>
      </c>
      <c r="K657" t="s">
        <v>74</v>
      </c>
      <c r="L657" t="s">
        <v>74</v>
      </c>
      <c r="M657" t="s">
        <v>78</v>
      </c>
      <c r="N657" t="s">
        <v>79</v>
      </c>
      <c r="O657" t="s">
        <v>74</v>
      </c>
      <c r="P657" t="s">
        <v>74</v>
      </c>
      <c r="Q657" t="s">
        <v>74</v>
      </c>
      <c r="R657" t="s">
        <v>74</v>
      </c>
      <c r="S657" t="s">
        <v>74</v>
      </c>
      <c r="T657" t="s">
        <v>10983</v>
      </c>
      <c r="U657" t="s">
        <v>10984</v>
      </c>
      <c r="V657" t="s">
        <v>10985</v>
      </c>
      <c r="W657" t="s">
        <v>10986</v>
      </c>
      <c r="X657" t="s">
        <v>10987</v>
      </c>
      <c r="Y657" t="s">
        <v>10988</v>
      </c>
      <c r="Z657" t="s">
        <v>10989</v>
      </c>
      <c r="AA657" t="s">
        <v>10990</v>
      </c>
      <c r="AB657" t="s">
        <v>10991</v>
      </c>
      <c r="AC657" t="s">
        <v>74</v>
      </c>
      <c r="AD657" t="s">
        <v>74</v>
      </c>
      <c r="AE657" t="s">
        <v>74</v>
      </c>
      <c r="AF657" t="s">
        <v>74</v>
      </c>
      <c r="AG657">
        <v>56</v>
      </c>
      <c r="AH657">
        <v>91</v>
      </c>
      <c r="AI657">
        <v>96</v>
      </c>
      <c r="AJ657">
        <v>0</v>
      </c>
      <c r="AK657">
        <v>50</v>
      </c>
      <c r="AL657" t="s">
        <v>8681</v>
      </c>
      <c r="AM657" t="s">
        <v>118</v>
      </c>
      <c r="AN657" t="s">
        <v>8682</v>
      </c>
      <c r="AO657" t="s">
        <v>8683</v>
      </c>
      <c r="AP657" t="s">
        <v>8684</v>
      </c>
      <c r="AQ657" t="s">
        <v>74</v>
      </c>
      <c r="AR657" t="s">
        <v>8685</v>
      </c>
      <c r="AS657" t="s">
        <v>8686</v>
      </c>
      <c r="AT657" t="s">
        <v>10962</v>
      </c>
      <c r="AU657">
        <v>2007</v>
      </c>
      <c r="AV657">
        <v>362</v>
      </c>
      <c r="AW657">
        <v>1487</v>
      </c>
      <c r="AX657" t="s">
        <v>74</v>
      </c>
      <c r="AY657" t="s">
        <v>74</v>
      </c>
      <c r="AZ657" t="s">
        <v>74</v>
      </c>
      <c r="BA657" t="s">
        <v>74</v>
      </c>
      <c r="BB657">
        <v>2169</v>
      </c>
      <c r="BC657">
        <v>2181</v>
      </c>
      <c r="BD657" t="s">
        <v>74</v>
      </c>
      <c r="BE657" t="s">
        <v>10992</v>
      </c>
      <c r="BF657" t="str">
        <f>HYPERLINK("http://dx.doi.org/10.1098/rstb.2007.2109","http://dx.doi.org/10.1098/rstb.2007.2109")</f>
        <v>http://dx.doi.org/10.1098/rstb.2007.2109</v>
      </c>
      <c r="BG657" t="s">
        <v>74</v>
      </c>
      <c r="BH657" t="s">
        <v>74</v>
      </c>
      <c r="BI657">
        <v>13</v>
      </c>
      <c r="BJ657" t="s">
        <v>4848</v>
      </c>
      <c r="BK657" t="s">
        <v>97</v>
      </c>
      <c r="BL657" t="s">
        <v>4849</v>
      </c>
      <c r="BM657" t="s">
        <v>10978</v>
      </c>
      <c r="BN657">
        <v>17472917</v>
      </c>
      <c r="BO657" t="s">
        <v>3777</v>
      </c>
      <c r="BP657" t="s">
        <v>74</v>
      </c>
      <c r="BQ657" t="s">
        <v>74</v>
      </c>
      <c r="BR657" t="s">
        <v>100</v>
      </c>
      <c r="BS657" t="s">
        <v>10993</v>
      </c>
      <c r="BT657" t="str">
        <f>HYPERLINK("https%3A%2F%2Fwww.webofscience.com%2Fwos%2Fwoscc%2Ffull-record%2FWOS:000250224500018","View Full Record in Web of Science")</f>
        <v>View Full Record in Web of Science</v>
      </c>
    </row>
    <row r="658" spans="1:72" x14ac:dyDescent="0.15">
      <c r="A658" t="s">
        <v>72</v>
      </c>
      <c r="B658" t="s">
        <v>10994</v>
      </c>
      <c r="C658" t="s">
        <v>74</v>
      </c>
      <c r="D658" t="s">
        <v>74</v>
      </c>
      <c r="E658" t="s">
        <v>74</v>
      </c>
      <c r="F658" t="s">
        <v>10995</v>
      </c>
      <c r="G658" t="s">
        <v>74</v>
      </c>
      <c r="H658" t="s">
        <v>74</v>
      </c>
      <c r="I658" t="s">
        <v>10996</v>
      </c>
      <c r="J658" t="s">
        <v>233</v>
      </c>
      <c r="K658" t="s">
        <v>74</v>
      </c>
      <c r="L658" t="s">
        <v>74</v>
      </c>
      <c r="M658" t="s">
        <v>78</v>
      </c>
      <c r="N658" t="s">
        <v>79</v>
      </c>
      <c r="O658" t="s">
        <v>74</v>
      </c>
      <c r="P658" t="s">
        <v>74</v>
      </c>
      <c r="Q658" t="s">
        <v>74</v>
      </c>
      <c r="R658" t="s">
        <v>74</v>
      </c>
      <c r="S658" t="s">
        <v>74</v>
      </c>
      <c r="T658" t="s">
        <v>74</v>
      </c>
      <c r="U658" t="s">
        <v>10997</v>
      </c>
      <c r="V658" t="s">
        <v>10998</v>
      </c>
      <c r="W658" t="s">
        <v>10999</v>
      </c>
      <c r="X658" t="s">
        <v>11000</v>
      </c>
      <c r="Y658" t="s">
        <v>11001</v>
      </c>
      <c r="Z658" t="s">
        <v>11002</v>
      </c>
      <c r="AA658" t="s">
        <v>11003</v>
      </c>
      <c r="AB658" t="s">
        <v>11004</v>
      </c>
      <c r="AC658" t="s">
        <v>11005</v>
      </c>
      <c r="AD658" t="s">
        <v>242</v>
      </c>
      <c r="AE658" t="s">
        <v>74</v>
      </c>
      <c r="AF658" t="s">
        <v>74</v>
      </c>
      <c r="AG658">
        <v>16</v>
      </c>
      <c r="AH658">
        <v>13</v>
      </c>
      <c r="AI658">
        <v>14</v>
      </c>
      <c r="AJ658">
        <v>1</v>
      </c>
      <c r="AK658">
        <v>10</v>
      </c>
      <c r="AL658" t="s">
        <v>193</v>
      </c>
      <c r="AM658" t="s">
        <v>194</v>
      </c>
      <c r="AN658" t="s">
        <v>195</v>
      </c>
      <c r="AO658" t="s">
        <v>243</v>
      </c>
      <c r="AP658" t="s">
        <v>74</v>
      </c>
      <c r="AQ658" t="s">
        <v>74</v>
      </c>
      <c r="AR658" t="s">
        <v>244</v>
      </c>
      <c r="AS658" t="s">
        <v>245</v>
      </c>
      <c r="AT658" t="s">
        <v>11006</v>
      </c>
      <c r="AU658">
        <v>2007</v>
      </c>
      <c r="AV658">
        <v>34</v>
      </c>
      <c r="AW658">
        <v>22</v>
      </c>
      <c r="AX658" t="s">
        <v>74</v>
      </c>
      <c r="AY658" t="s">
        <v>74</v>
      </c>
      <c r="AZ658" t="s">
        <v>74</v>
      </c>
      <c r="BA658" t="s">
        <v>74</v>
      </c>
      <c r="BB658" t="s">
        <v>74</v>
      </c>
      <c r="BC658" t="s">
        <v>74</v>
      </c>
      <c r="BD658" t="s">
        <v>11007</v>
      </c>
      <c r="BE658" t="s">
        <v>11008</v>
      </c>
      <c r="BF658" t="str">
        <f>HYPERLINK("http://dx.doi.org/10.1029/2007GL031238","http://dx.doi.org/10.1029/2007GL031238")</f>
        <v>http://dx.doi.org/10.1029/2007GL031238</v>
      </c>
      <c r="BG658" t="s">
        <v>74</v>
      </c>
      <c r="BH658" t="s">
        <v>74</v>
      </c>
      <c r="BI658">
        <v>5</v>
      </c>
      <c r="BJ658" t="s">
        <v>96</v>
      </c>
      <c r="BK658" t="s">
        <v>97</v>
      </c>
      <c r="BL658" t="s">
        <v>98</v>
      </c>
      <c r="BM658" t="s">
        <v>11009</v>
      </c>
      <c r="BN658" t="s">
        <v>74</v>
      </c>
      <c r="BO658" t="s">
        <v>414</v>
      </c>
      <c r="BP658" t="s">
        <v>74</v>
      </c>
      <c r="BQ658" t="s">
        <v>74</v>
      </c>
      <c r="BR658" t="s">
        <v>100</v>
      </c>
      <c r="BS658" t="s">
        <v>11010</v>
      </c>
      <c r="BT658" t="str">
        <f>HYPERLINK("https%3A%2F%2Fwww.webofscience.com%2Fwos%2Fwoscc%2Ffull-record%2FWOS:000251345000002","View Full Record in Web of Science")</f>
        <v>View Full Record in Web of Science</v>
      </c>
    </row>
    <row r="659" spans="1:72" x14ac:dyDescent="0.15">
      <c r="A659" t="s">
        <v>72</v>
      </c>
      <c r="B659" t="s">
        <v>11011</v>
      </c>
      <c r="C659" t="s">
        <v>74</v>
      </c>
      <c r="D659" t="s">
        <v>74</v>
      </c>
      <c r="E659" t="s">
        <v>74</v>
      </c>
      <c r="F659" t="s">
        <v>11011</v>
      </c>
      <c r="G659" t="s">
        <v>74</v>
      </c>
      <c r="H659" t="s">
        <v>74</v>
      </c>
      <c r="I659" t="s">
        <v>11012</v>
      </c>
      <c r="J659" t="s">
        <v>676</v>
      </c>
      <c r="K659" t="s">
        <v>74</v>
      </c>
      <c r="L659" t="s">
        <v>74</v>
      </c>
      <c r="M659" t="s">
        <v>78</v>
      </c>
      <c r="N659" t="s">
        <v>438</v>
      </c>
      <c r="O659" t="s">
        <v>74</v>
      </c>
      <c r="P659" t="s">
        <v>74</v>
      </c>
      <c r="Q659" t="s">
        <v>74</v>
      </c>
      <c r="R659" t="s">
        <v>74</v>
      </c>
      <c r="S659" t="s">
        <v>74</v>
      </c>
      <c r="T659" t="s">
        <v>74</v>
      </c>
      <c r="U659" t="s">
        <v>74</v>
      </c>
      <c r="V659" t="s">
        <v>74</v>
      </c>
      <c r="W659" t="s">
        <v>74</v>
      </c>
      <c r="X659" t="s">
        <v>74</v>
      </c>
      <c r="Y659" t="s">
        <v>74</v>
      </c>
      <c r="Z659" t="s">
        <v>74</v>
      </c>
      <c r="AA659" t="s">
        <v>74</v>
      </c>
      <c r="AB659" t="s">
        <v>74</v>
      </c>
      <c r="AC659" t="s">
        <v>74</v>
      </c>
      <c r="AD659" t="s">
        <v>74</v>
      </c>
      <c r="AE659" t="s">
        <v>74</v>
      </c>
      <c r="AF659" t="s">
        <v>74</v>
      </c>
      <c r="AG659">
        <v>0</v>
      </c>
      <c r="AH659">
        <v>0</v>
      </c>
      <c r="AI659">
        <v>0</v>
      </c>
      <c r="AJ659">
        <v>0</v>
      </c>
      <c r="AK659">
        <v>0</v>
      </c>
      <c r="AL659" t="s">
        <v>677</v>
      </c>
      <c r="AM659" t="s">
        <v>678</v>
      </c>
      <c r="AN659" t="s">
        <v>679</v>
      </c>
      <c r="AO659" t="s">
        <v>680</v>
      </c>
      <c r="AP659" t="s">
        <v>74</v>
      </c>
      <c r="AQ659" t="s">
        <v>74</v>
      </c>
      <c r="AR659" t="s">
        <v>681</v>
      </c>
      <c r="AS659" t="s">
        <v>682</v>
      </c>
      <c r="AT659" t="s">
        <v>11013</v>
      </c>
      <c r="AU659">
        <v>2007</v>
      </c>
      <c r="AV659">
        <v>196</v>
      </c>
      <c r="AW659">
        <v>2631</v>
      </c>
      <c r="AX659" t="s">
        <v>74</v>
      </c>
      <c r="AY659" t="s">
        <v>74</v>
      </c>
      <c r="AZ659" t="s">
        <v>74</v>
      </c>
      <c r="BA659" t="s">
        <v>74</v>
      </c>
      <c r="BB659">
        <v>60</v>
      </c>
      <c r="BC659">
        <v>60</v>
      </c>
      <c r="BD659" t="s">
        <v>74</v>
      </c>
      <c r="BE659" t="s">
        <v>74</v>
      </c>
      <c r="BF659" t="s">
        <v>74</v>
      </c>
      <c r="BG659" t="s">
        <v>74</v>
      </c>
      <c r="BH659" t="s">
        <v>74</v>
      </c>
      <c r="BI659">
        <v>1</v>
      </c>
      <c r="BJ659" t="s">
        <v>684</v>
      </c>
      <c r="BK659" t="s">
        <v>97</v>
      </c>
      <c r="BL659" t="s">
        <v>685</v>
      </c>
      <c r="BM659" t="s">
        <v>11014</v>
      </c>
      <c r="BN659" t="s">
        <v>74</v>
      </c>
      <c r="BO659" t="s">
        <v>74</v>
      </c>
      <c r="BP659" t="s">
        <v>74</v>
      </c>
      <c r="BQ659" t="s">
        <v>74</v>
      </c>
      <c r="BR659" t="s">
        <v>100</v>
      </c>
      <c r="BS659" t="s">
        <v>11015</v>
      </c>
      <c r="BT659" t="str">
        <f>HYPERLINK("https%3A%2F%2Fwww.webofscience.com%2Fwos%2Fwoscc%2Ffull-record%2FWOS:000251125000031","View Full Record in Web of Science")</f>
        <v>View Full Record in Web of Science</v>
      </c>
    </row>
    <row r="660" spans="1:72" x14ac:dyDescent="0.15">
      <c r="A660" t="s">
        <v>72</v>
      </c>
      <c r="B660" t="s">
        <v>11016</v>
      </c>
      <c r="C660" t="s">
        <v>74</v>
      </c>
      <c r="D660" t="s">
        <v>74</v>
      </c>
      <c r="E660" t="s">
        <v>74</v>
      </c>
      <c r="F660" t="s">
        <v>11017</v>
      </c>
      <c r="G660" t="s">
        <v>74</v>
      </c>
      <c r="H660" t="s">
        <v>74</v>
      </c>
      <c r="I660" t="s">
        <v>11018</v>
      </c>
      <c r="J660" t="s">
        <v>11019</v>
      </c>
      <c r="K660" t="s">
        <v>74</v>
      </c>
      <c r="L660" t="s">
        <v>74</v>
      </c>
      <c r="M660" t="s">
        <v>78</v>
      </c>
      <c r="N660" t="s">
        <v>79</v>
      </c>
      <c r="O660" t="s">
        <v>74</v>
      </c>
      <c r="P660" t="s">
        <v>74</v>
      </c>
      <c r="Q660" t="s">
        <v>74</v>
      </c>
      <c r="R660" t="s">
        <v>74</v>
      </c>
      <c r="S660" t="s">
        <v>74</v>
      </c>
      <c r="T660" t="s">
        <v>11020</v>
      </c>
      <c r="U660" t="s">
        <v>11021</v>
      </c>
      <c r="V660" t="s">
        <v>11022</v>
      </c>
      <c r="W660" t="s">
        <v>11023</v>
      </c>
      <c r="X660" t="s">
        <v>11024</v>
      </c>
      <c r="Y660" t="s">
        <v>11025</v>
      </c>
      <c r="Z660" t="s">
        <v>11026</v>
      </c>
      <c r="AA660" t="s">
        <v>11027</v>
      </c>
      <c r="AB660" t="s">
        <v>11028</v>
      </c>
      <c r="AC660" t="s">
        <v>74</v>
      </c>
      <c r="AD660" t="s">
        <v>74</v>
      </c>
      <c r="AE660" t="s">
        <v>74</v>
      </c>
      <c r="AF660" t="s">
        <v>74</v>
      </c>
      <c r="AG660">
        <v>69</v>
      </c>
      <c r="AH660">
        <v>89</v>
      </c>
      <c r="AI660">
        <v>101</v>
      </c>
      <c r="AJ660">
        <v>1</v>
      </c>
      <c r="AK660">
        <v>68</v>
      </c>
      <c r="AL660" t="s">
        <v>1508</v>
      </c>
      <c r="AM660" t="s">
        <v>118</v>
      </c>
      <c r="AN660" t="s">
        <v>1509</v>
      </c>
      <c r="AO660" t="s">
        <v>11029</v>
      </c>
      <c r="AP660" t="s">
        <v>74</v>
      </c>
      <c r="AQ660" t="s">
        <v>74</v>
      </c>
      <c r="AR660" t="s">
        <v>11030</v>
      </c>
      <c r="AS660" t="s">
        <v>11031</v>
      </c>
      <c r="AT660" t="s">
        <v>11032</v>
      </c>
      <c r="AU660">
        <v>2007</v>
      </c>
      <c r="AV660">
        <v>374</v>
      </c>
      <c r="AW660">
        <v>2</v>
      </c>
      <c r="AX660" t="s">
        <v>74</v>
      </c>
      <c r="AY660" t="s">
        <v>74</v>
      </c>
      <c r="AZ660" t="s">
        <v>74</v>
      </c>
      <c r="BA660" t="s">
        <v>74</v>
      </c>
      <c r="BB660">
        <v>547</v>
      </c>
      <c r="BC660">
        <v>562</v>
      </c>
      <c r="BD660" t="s">
        <v>74</v>
      </c>
      <c r="BE660" t="s">
        <v>11033</v>
      </c>
      <c r="BF660" t="str">
        <f>HYPERLINK("http://dx.doi.org/10.1016/j.jmb.2007.09.049","http://dx.doi.org/10.1016/j.jmb.2007.09.049")</f>
        <v>http://dx.doi.org/10.1016/j.jmb.2007.09.049</v>
      </c>
      <c r="BG660" t="s">
        <v>74</v>
      </c>
      <c r="BH660" t="s">
        <v>74</v>
      </c>
      <c r="BI660">
        <v>16</v>
      </c>
      <c r="BJ660" t="s">
        <v>7853</v>
      </c>
      <c r="BK660" t="s">
        <v>97</v>
      </c>
      <c r="BL660" t="s">
        <v>7853</v>
      </c>
      <c r="BM660" t="s">
        <v>11034</v>
      </c>
      <c r="BN660">
        <v>17936781</v>
      </c>
      <c r="BO660" t="s">
        <v>74</v>
      </c>
      <c r="BP660" t="s">
        <v>74</v>
      </c>
      <c r="BQ660" t="s">
        <v>74</v>
      </c>
      <c r="BR660" t="s">
        <v>100</v>
      </c>
      <c r="BS660" t="s">
        <v>11035</v>
      </c>
      <c r="BT660" t="str">
        <f>HYPERLINK("https%3A%2F%2Fwww.webofscience.com%2Fwos%2Fwoscc%2Ffull-record%2FWOS:000251459900022","View Full Record in Web of Science")</f>
        <v>View Full Record in Web of Science</v>
      </c>
    </row>
    <row r="661" spans="1:72" x14ac:dyDescent="0.15">
      <c r="A661" t="s">
        <v>72</v>
      </c>
      <c r="B661" t="s">
        <v>11036</v>
      </c>
      <c r="C661" t="s">
        <v>74</v>
      </c>
      <c r="D661" t="s">
        <v>74</v>
      </c>
      <c r="E661" t="s">
        <v>74</v>
      </c>
      <c r="F661" t="s">
        <v>11037</v>
      </c>
      <c r="G661" t="s">
        <v>74</v>
      </c>
      <c r="H661" t="s">
        <v>74</v>
      </c>
      <c r="I661" t="s">
        <v>11038</v>
      </c>
      <c r="J661" t="s">
        <v>8883</v>
      </c>
      <c r="K661" t="s">
        <v>74</v>
      </c>
      <c r="L661" t="s">
        <v>74</v>
      </c>
      <c r="M661" t="s">
        <v>78</v>
      </c>
      <c r="N661" t="s">
        <v>79</v>
      </c>
      <c r="O661" t="s">
        <v>74</v>
      </c>
      <c r="P661" t="s">
        <v>74</v>
      </c>
      <c r="Q661" t="s">
        <v>74</v>
      </c>
      <c r="R661" t="s">
        <v>74</v>
      </c>
      <c r="S661" t="s">
        <v>74</v>
      </c>
      <c r="T661" t="s">
        <v>74</v>
      </c>
      <c r="U661" t="s">
        <v>11039</v>
      </c>
      <c r="V661" t="s">
        <v>11040</v>
      </c>
      <c r="W661" t="s">
        <v>11041</v>
      </c>
      <c r="X661" t="s">
        <v>11042</v>
      </c>
      <c r="Y661" t="s">
        <v>11043</v>
      </c>
      <c r="Z661" t="s">
        <v>11044</v>
      </c>
      <c r="AA661" t="s">
        <v>11045</v>
      </c>
      <c r="AB661" t="s">
        <v>11046</v>
      </c>
      <c r="AC661" t="s">
        <v>74</v>
      </c>
      <c r="AD661" t="s">
        <v>74</v>
      </c>
      <c r="AE661" t="s">
        <v>74</v>
      </c>
      <c r="AF661" t="s">
        <v>74</v>
      </c>
      <c r="AG661">
        <v>28</v>
      </c>
      <c r="AH661">
        <v>18</v>
      </c>
      <c r="AI661">
        <v>20</v>
      </c>
      <c r="AJ661">
        <v>0</v>
      </c>
      <c r="AK661">
        <v>16</v>
      </c>
      <c r="AL661" t="s">
        <v>193</v>
      </c>
      <c r="AM661" t="s">
        <v>194</v>
      </c>
      <c r="AN661" t="s">
        <v>195</v>
      </c>
      <c r="AO661" t="s">
        <v>8891</v>
      </c>
      <c r="AP661" t="s">
        <v>11047</v>
      </c>
      <c r="AQ661" t="s">
        <v>74</v>
      </c>
      <c r="AR661" t="s">
        <v>8892</v>
      </c>
      <c r="AS661" t="s">
        <v>8893</v>
      </c>
      <c r="AT661" t="s">
        <v>11048</v>
      </c>
      <c r="AU661">
        <v>2007</v>
      </c>
      <c r="AV661">
        <v>21</v>
      </c>
      <c r="AW661">
        <v>4</v>
      </c>
      <c r="AX661" t="s">
        <v>74</v>
      </c>
      <c r="AY661" t="s">
        <v>74</v>
      </c>
      <c r="AZ661" t="s">
        <v>74</v>
      </c>
      <c r="BA661" t="s">
        <v>74</v>
      </c>
      <c r="BB661" t="s">
        <v>74</v>
      </c>
      <c r="BC661" t="s">
        <v>74</v>
      </c>
      <c r="BD661" t="s">
        <v>11049</v>
      </c>
      <c r="BE661" t="s">
        <v>11050</v>
      </c>
      <c r="BF661" t="str">
        <f>HYPERLINK("http://dx.doi.org/10.1029/2006GB002796","http://dx.doi.org/10.1029/2006GB002796")</f>
        <v>http://dx.doi.org/10.1029/2006GB002796</v>
      </c>
      <c r="BG661" t="s">
        <v>74</v>
      </c>
      <c r="BH661" t="s">
        <v>74</v>
      </c>
      <c r="BI661">
        <v>8</v>
      </c>
      <c r="BJ661" t="s">
        <v>3105</v>
      </c>
      <c r="BK661" t="s">
        <v>97</v>
      </c>
      <c r="BL661" t="s">
        <v>3106</v>
      </c>
      <c r="BM661" t="s">
        <v>11051</v>
      </c>
      <c r="BN661" t="s">
        <v>74</v>
      </c>
      <c r="BO661" t="s">
        <v>610</v>
      </c>
      <c r="BP661" t="s">
        <v>74</v>
      </c>
      <c r="BQ661" t="s">
        <v>74</v>
      </c>
      <c r="BR661" t="s">
        <v>100</v>
      </c>
      <c r="BS661" t="s">
        <v>11052</v>
      </c>
      <c r="BT661" t="str">
        <f>HYPERLINK("https%3A%2F%2Fwww.webofscience.com%2Fwos%2Fwoscc%2Ffull-record%2FWOS:000251258200001","View Full Record in Web of Science")</f>
        <v>View Full Record in Web of Science</v>
      </c>
    </row>
    <row r="662" spans="1:72" x14ac:dyDescent="0.15">
      <c r="A662" t="s">
        <v>72</v>
      </c>
      <c r="B662" t="s">
        <v>11053</v>
      </c>
      <c r="C662" t="s">
        <v>74</v>
      </c>
      <c r="D662" t="s">
        <v>74</v>
      </c>
      <c r="E662" t="s">
        <v>74</v>
      </c>
      <c r="F662" t="s">
        <v>11054</v>
      </c>
      <c r="G662" t="s">
        <v>74</v>
      </c>
      <c r="H662" t="s">
        <v>74</v>
      </c>
      <c r="I662" t="s">
        <v>11055</v>
      </c>
      <c r="J662" t="s">
        <v>11056</v>
      </c>
      <c r="K662" t="s">
        <v>74</v>
      </c>
      <c r="L662" t="s">
        <v>74</v>
      </c>
      <c r="M662" t="s">
        <v>78</v>
      </c>
      <c r="N662" t="s">
        <v>79</v>
      </c>
      <c r="O662" t="s">
        <v>74</v>
      </c>
      <c r="P662" t="s">
        <v>74</v>
      </c>
      <c r="Q662" t="s">
        <v>74</v>
      </c>
      <c r="R662" t="s">
        <v>74</v>
      </c>
      <c r="S662" t="s">
        <v>74</v>
      </c>
      <c r="T662" t="s">
        <v>74</v>
      </c>
      <c r="U662" t="s">
        <v>11057</v>
      </c>
      <c r="V662" t="s">
        <v>11058</v>
      </c>
      <c r="W662" t="s">
        <v>11059</v>
      </c>
      <c r="X662" t="s">
        <v>11060</v>
      </c>
      <c r="Y662" t="s">
        <v>11061</v>
      </c>
      <c r="Z662" t="s">
        <v>11062</v>
      </c>
      <c r="AA662" t="s">
        <v>11063</v>
      </c>
      <c r="AB662" t="s">
        <v>11064</v>
      </c>
      <c r="AC662" t="s">
        <v>11065</v>
      </c>
      <c r="AD662" t="s">
        <v>444</v>
      </c>
      <c r="AE662" t="s">
        <v>74</v>
      </c>
      <c r="AF662" t="s">
        <v>74</v>
      </c>
      <c r="AG662">
        <v>59</v>
      </c>
      <c r="AH662">
        <v>68</v>
      </c>
      <c r="AI662">
        <v>69</v>
      </c>
      <c r="AJ662">
        <v>5</v>
      </c>
      <c r="AK662">
        <v>57</v>
      </c>
      <c r="AL662" t="s">
        <v>193</v>
      </c>
      <c r="AM662" t="s">
        <v>194</v>
      </c>
      <c r="AN662" t="s">
        <v>195</v>
      </c>
      <c r="AO662" t="s">
        <v>11066</v>
      </c>
      <c r="AP662" t="s">
        <v>11067</v>
      </c>
      <c r="AQ662" t="s">
        <v>74</v>
      </c>
      <c r="AR662" t="s">
        <v>11068</v>
      </c>
      <c r="AS662" t="s">
        <v>11069</v>
      </c>
      <c r="AT662" t="s">
        <v>11070</v>
      </c>
      <c r="AU662">
        <v>2007</v>
      </c>
      <c r="AV662">
        <v>112</v>
      </c>
      <c r="AW662" t="s">
        <v>11071</v>
      </c>
      <c r="AX662" t="s">
        <v>74</v>
      </c>
      <c r="AY662" t="s">
        <v>74</v>
      </c>
      <c r="AZ662" t="s">
        <v>74</v>
      </c>
      <c r="BA662" t="s">
        <v>74</v>
      </c>
      <c r="BB662" t="s">
        <v>74</v>
      </c>
      <c r="BC662" t="s">
        <v>74</v>
      </c>
      <c r="BD662" t="s">
        <v>11072</v>
      </c>
      <c r="BE662" t="s">
        <v>11073</v>
      </c>
      <c r="BF662" t="str">
        <f>HYPERLINK("http://dx.doi.org/10.1029/2006JG000350","http://dx.doi.org/10.1029/2006JG000350")</f>
        <v>http://dx.doi.org/10.1029/2006JG000350</v>
      </c>
      <c r="BG662" t="s">
        <v>74</v>
      </c>
      <c r="BH662" t="s">
        <v>74</v>
      </c>
      <c r="BI662">
        <v>10</v>
      </c>
      <c r="BJ662" t="s">
        <v>4395</v>
      </c>
      <c r="BK662" t="s">
        <v>97</v>
      </c>
      <c r="BL662" t="s">
        <v>2603</v>
      </c>
      <c r="BM662" t="s">
        <v>11074</v>
      </c>
      <c r="BN662" t="s">
        <v>74</v>
      </c>
      <c r="BO662" t="s">
        <v>179</v>
      </c>
      <c r="BP662" t="s">
        <v>74</v>
      </c>
      <c r="BQ662" t="s">
        <v>74</v>
      </c>
      <c r="BR662" t="s">
        <v>100</v>
      </c>
      <c r="BS662" t="s">
        <v>11075</v>
      </c>
      <c r="BT662" t="str">
        <f>HYPERLINK("https%3A%2F%2Fwww.webofscience.com%2Fwos%2Fwoscc%2Ffull-record%2FWOS:000251260900001","View Full Record in Web of Science")</f>
        <v>View Full Record in Web of Science</v>
      </c>
    </row>
    <row r="663" spans="1:72" x14ac:dyDescent="0.15">
      <c r="A663" t="s">
        <v>72</v>
      </c>
      <c r="B663" t="s">
        <v>11076</v>
      </c>
      <c r="C663" t="s">
        <v>74</v>
      </c>
      <c r="D663" t="s">
        <v>74</v>
      </c>
      <c r="E663" t="s">
        <v>74</v>
      </c>
      <c r="F663" t="s">
        <v>11077</v>
      </c>
      <c r="G663" t="s">
        <v>74</v>
      </c>
      <c r="H663" t="s">
        <v>74</v>
      </c>
      <c r="I663" t="s">
        <v>11078</v>
      </c>
      <c r="J663" t="s">
        <v>11079</v>
      </c>
      <c r="K663" t="s">
        <v>74</v>
      </c>
      <c r="L663" t="s">
        <v>74</v>
      </c>
      <c r="M663" t="s">
        <v>78</v>
      </c>
      <c r="N663" t="s">
        <v>79</v>
      </c>
      <c r="O663" t="s">
        <v>74</v>
      </c>
      <c r="P663" t="s">
        <v>74</v>
      </c>
      <c r="Q663" t="s">
        <v>74</v>
      </c>
      <c r="R663" t="s">
        <v>74</v>
      </c>
      <c r="S663" t="s">
        <v>74</v>
      </c>
      <c r="T663" t="s">
        <v>11080</v>
      </c>
      <c r="U663" t="s">
        <v>11081</v>
      </c>
      <c r="V663" t="s">
        <v>74</v>
      </c>
      <c r="W663" t="s">
        <v>11082</v>
      </c>
      <c r="X663" t="s">
        <v>11083</v>
      </c>
      <c r="Y663" t="s">
        <v>11084</v>
      </c>
      <c r="Z663" t="s">
        <v>11085</v>
      </c>
      <c r="AA663" t="s">
        <v>11086</v>
      </c>
      <c r="AB663" t="s">
        <v>11087</v>
      </c>
      <c r="AC663" t="s">
        <v>11088</v>
      </c>
      <c r="AD663" t="s">
        <v>242</v>
      </c>
      <c r="AE663" t="s">
        <v>74</v>
      </c>
      <c r="AF663" t="s">
        <v>74</v>
      </c>
      <c r="AG663">
        <v>33</v>
      </c>
      <c r="AH663">
        <v>1444</v>
      </c>
      <c r="AI663">
        <v>1664</v>
      </c>
      <c r="AJ663">
        <v>28</v>
      </c>
      <c r="AK663">
        <v>728</v>
      </c>
      <c r="AL663" t="s">
        <v>11089</v>
      </c>
      <c r="AM663" t="s">
        <v>194</v>
      </c>
      <c r="AN663" t="s">
        <v>11090</v>
      </c>
      <c r="AO663" t="s">
        <v>11091</v>
      </c>
      <c r="AP663" t="s">
        <v>74</v>
      </c>
      <c r="AQ663" t="s">
        <v>74</v>
      </c>
      <c r="AR663" t="s">
        <v>11092</v>
      </c>
      <c r="AS663" t="s">
        <v>11093</v>
      </c>
      <c r="AT663" t="s">
        <v>11070</v>
      </c>
      <c r="AU663">
        <v>2007</v>
      </c>
      <c r="AV663">
        <v>104</v>
      </c>
      <c r="AW663">
        <v>47</v>
      </c>
      <c r="AX663" t="s">
        <v>74</v>
      </c>
      <c r="AY663" t="s">
        <v>74</v>
      </c>
      <c r="AZ663" t="s">
        <v>74</v>
      </c>
      <c r="BA663" t="s">
        <v>74</v>
      </c>
      <c r="BB663">
        <v>18866</v>
      </c>
      <c r="BC663">
        <v>18870</v>
      </c>
      <c r="BD663" t="s">
        <v>74</v>
      </c>
      <c r="BE663" t="s">
        <v>11094</v>
      </c>
      <c r="BF663" t="str">
        <f>HYPERLINK("http://dx.doi.org/10.1073/pnas.0702737104","http://dx.doi.org/10.1073/pnas.0702737104")</f>
        <v>http://dx.doi.org/10.1073/pnas.0702737104</v>
      </c>
      <c r="BG663" t="s">
        <v>74</v>
      </c>
      <c r="BH663" t="s">
        <v>74</v>
      </c>
      <c r="BI663">
        <v>5</v>
      </c>
      <c r="BJ663" t="s">
        <v>684</v>
      </c>
      <c r="BK663" t="s">
        <v>97</v>
      </c>
      <c r="BL663" t="s">
        <v>685</v>
      </c>
      <c r="BM663" t="s">
        <v>11095</v>
      </c>
      <c r="BN663">
        <v>17962418</v>
      </c>
      <c r="BO663" t="s">
        <v>128</v>
      </c>
      <c r="BP663" t="s">
        <v>74</v>
      </c>
      <c r="BQ663" t="s">
        <v>74</v>
      </c>
      <c r="BR663" t="s">
        <v>100</v>
      </c>
      <c r="BS663" t="s">
        <v>11096</v>
      </c>
      <c r="BT663" t="str">
        <f>HYPERLINK("https%3A%2F%2Fwww.webofscience.com%2Fwos%2Fwoscc%2Ffull-record%2FWOS:000251292500092","View Full Record in Web of Science")</f>
        <v>View Full Record in Web of Science</v>
      </c>
    </row>
    <row r="664" spans="1:72" x14ac:dyDescent="0.15">
      <c r="A664" t="s">
        <v>72</v>
      </c>
      <c r="B664" t="s">
        <v>11097</v>
      </c>
      <c r="C664" t="s">
        <v>74</v>
      </c>
      <c r="D664" t="s">
        <v>74</v>
      </c>
      <c r="E664" t="s">
        <v>74</v>
      </c>
      <c r="F664" t="s">
        <v>11098</v>
      </c>
      <c r="G664" t="s">
        <v>74</v>
      </c>
      <c r="H664" t="s">
        <v>74</v>
      </c>
      <c r="I664" t="s">
        <v>11099</v>
      </c>
      <c r="J664" t="s">
        <v>333</v>
      </c>
      <c r="K664" t="s">
        <v>74</v>
      </c>
      <c r="L664" t="s">
        <v>74</v>
      </c>
      <c r="M664" t="s">
        <v>78</v>
      </c>
      <c r="N664" t="s">
        <v>79</v>
      </c>
      <c r="O664" t="s">
        <v>74</v>
      </c>
      <c r="P664" t="s">
        <v>74</v>
      </c>
      <c r="Q664" t="s">
        <v>74</v>
      </c>
      <c r="R664" t="s">
        <v>74</v>
      </c>
      <c r="S664" t="s">
        <v>74</v>
      </c>
      <c r="T664" t="s">
        <v>74</v>
      </c>
      <c r="U664" t="s">
        <v>11100</v>
      </c>
      <c r="V664" t="s">
        <v>11101</v>
      </c>
      <c r="W664" t="s">
        <v>11102</v>
      </c>
      <c r="X664" t="s">
        <v>11103</v>
      </c>
      <c r="Y664" t="s">
        <v>11104</v>
      </c>
      <c r="Z664" t="s">
        <v>11105</v>
      </c>
      <c r="AA664" t="s">
        <v>11106</v>
      </c>
      <c r="AB664" t="s">
        <v>11107</v>
      </c>
      <c r="AC664" t="s">
        <v>74</v>
      </c>
      <c r="AD664" t="s">
        <v>74</v>
      </c>
      <c r="AE664" t="s">
        <v>74</v>
      </c>
      <c r="AF664" t="s">
        <v>74</v>
      </c>
      <c r="AG664">
        <v>44</v>
      </c>
      <c r="AH664">
        <v>11</v>
      </c>
      <c r="AI664">
        <v>13</v>
      </c>
      <c r="AJ664">
        <v>0</v>
      </c>
      <c r="AK664">
        <v>2</v>
      </c>
      <c r="AL664" t="s">
        <v>193</v>
      </c>
      <c r="AM664" t="s">
        <v>194</v>
      </c>
      <c r="AN664" t="s">
        <v>195</v>
      </c>
      <c r="AO664" t="s">
        <v>344</v>
      </c>
      <c r="AP664" t="s">
        <v>345</v>
      </c>
      <c r="AQ664" t="s">
        <v>74</v>
      </c>
      <c r="AR664" t="s">
        <v>346</v>
      </c>
      <c r="AS664" t="s">
        <v>347</v>
      </c>
      <c r="AT664" t="s">
        <v>11108</v>
      </c>
      <c r="AU664">
        <v>2007</v>
      </c>
      <c r="AV664">
        <v>112</v>
      </c>
      <c r="AW664" t="s">
        <v>11109</v>
      </c>
      <c r="AX664" t="s">
        <v>74</v>
      </c>
      <c r="AY664" t="s">
        <v>74</v>
      </c>
      <c r="AZ664" t="s">
        <v>74</v>
      </c>
      <c r="BA664" t="s">
        <v>74</v>
      </c>
      <c r="BB664" t="s">
        <v>74</v>
      </c>
      <c r="BC664" t="s">
        <v>74</v>
      </c>
      <c r="BD664" t="s">
        <v>11110</v>
      </c>
      <c r="BE664" t="s">
        <v>11111</v>
      </c>
      <c r="BF664" t="str">
        <f>HYPERLINK("http://dx.doi.org/10.1029/2007JA012425","http://dx.doi.org/10.1029/2007JA012425")</f>
        <v>http://dx.doi.org/10.1029/2007JA012425</v>
      </c>
      <c r="BG664" t="s">
        <v>74</v>
      </c>
      <c r="BH664" t="s">
        <v>74</v>
      </c>
      <c r="BI664">
        <v>12</v>
      </c>
      <c r="BJ664" t="s">
        <v>351</v>
      </c>
      <c r="BK664" t="s">
        <v>97</v>
      </c>
      <c r="BL664" t="s">
        <v>351</v>
      </c>
      <c r="BM664" t="s">
        <v>11112</v>
      </c>
      <c r="BN664" t="s">
        <v>74</v>
      </c>
      <c r="BO664" t="s">
        <v>74</v>
      </c>
      <c r="BP664" t="s">
        <v>74</v>
      </c>
      <c r="BQ664" t="s">
        <v>74</v>
      </c>
      <c r="BR664" t="s">
        <v>100</v>
      </c>
      <c r="BS664" t="s">
        <v>11113</v>
      </c>
      <c r="BT664" t="str">
        <f>HYPERLINK("https%3A%2F%2Fwww.webofscience.com%2Fwos%2Fwoscc%2Ffull-record%2FWOS:000251063000007","View Full Record in Web of Science")</f>
        <v>View Full Record in Web of Science</v>
      </c>
    </row>
    <row r="665" spans="1:72" x14ac:dyDescent="0.15">
      <c r="A665" t="s">
        <v>72</v>
      </c>
      <c r="B665" t="s">
        <v>11114</v>
      </c>
      <c r="C665" t="s">
        <v>74</v>
      </c>
      <c r="D665" t="s">
        <v>74</v>
      </c>
      <c r="E665" t="s">
        <v>74</v>
      </c>
      <c r="F665" t="s">
        <v>11115</v>
      </c>
      <c r="G665" t="s">
        <v>74</v>
      </c>
      <c r="H665" t="s">
        <v>74</v>
      </c>
      <c r="I665" t="s">
        <v>11116</v>
      </c>
      <c r="J665" t="s">
        <v>333</v>
      </c>
      <c r="K665" t="s">
        <v>74</v>
      </c>
      <c r="L665" t="s">
        <v>74</v>
      </c>
      <c r="M665" t="s">
        <v>78</v>
      </c>
      <c r="N665" t="s">
        <v>79</v>
      </c>
      <c r="O665" t="s">
        <v>74</v>
      </c>
      <c r="P665" t="s">
        <v>74</v>
      </c>
      <c r="Q665" t="s">
        <v>74</v>
      </c>
      <c r="R665" t="s">
        <v>74</v>
      </c>
      <c r="S665" t="s">
        <v>74</v>
      </c>
      <c r="T665" t="s">
        <v>74</v>
      </c>
      <c r="U665" t="s">
        <v>11117</v>
      </c>
      <c r="V665" t="s">
        <v>11118</v>
      </c>
      <c r="W665" t="s">
        <v>11119</v>
      </c>
      <c r="X665" t="s">
        <v>11120</v>
      </c>
      <c r="Y665" t="s">
        <v>11121</v>
      </c>
      <c r="Z665" t="s">
        <v>11122</v>
      </c>
      <c r="AA665" t="s">
        <v>11123</v>
      </c>
      <c r="AB665" t="s">
        <v>11124</v>
      </c>
      <c r="AC665" t="s">
        <v>394</v>
      </c>
      <c r="AD665" t="s">
        <v>242</v>
      </c>
      <c r="AE665" t="s">
        <v>74</v>
      </c>
      <c r="AF665" t="s">
        <v>74</v>
      </c>
      <c r="AG665">
        <v>36</v>
      </c>
      <c r="AH665">
        <v>23</v>
      </c>
      <c r="AI665">
        <v>25</v>
      </c>
      <c r="AJ665">
        <v>0</v>
      </c>
      <c r="AK665">
        <v>6</v>
      </c>
      <c r="AL665" t="s">
        <v>193</v>
      </c>
      <c r="AM665" t="s">
        <v>194</v>
      </c>
      <c r="AN665" t="s">
        <v>195</v>
      </c>
      <c r="AO665" t="s">
        <v>344</v>
      </c>
      <c r="AP665" t="s">
        <v>345</v>
      </c>
      <c r="AQ665" t="s">
        <v>74</v>
      </c>
      <c r="AR665" t="s">
        <v>346</v>
      </c>
      <c r="AS665" t="s">
        <v>347</v>
      </c>
      <c r="AT665" t="s">
        <v>11108</v>
      </c>
      <c r="AU665">
        <v>2007</v>
      </c>
      <c r="AV665">
        <v>112</v>
      </c>
      <c r="AW665" t="s">
        <v>11109</v>
      </c>
      <c r="AX665" t="s">
        <v>74</v>
      </c>
      <c r="AY665" t="s">
        <v>74</v>
      </c>
      <c r="AZ665" t="s">
        <v>74</v>
      </c>
      <c r="BA665" t="s">
        <v>74</v>
      </c>
      <c r="BB665" t="s">
        <v>74</v>
      </c>
      <c r="BC665" t="s">
        <v>74</v>
      </c>
      <c r="BD665" t="s">
        <v>11125</v>
      </c>
      <c r="BE665" t="s">
        <v>11126</v>
      </c>
      <c r="BF665" t="str">
        <f>HYPERLINK("http://dx.doi.org/10.1029/2007JA012416","http://dx.doi.org/10.1029/2007JA012416")</f>
        <v>http://dx.doi.org/10.1029/2007JA012416</v>
      </c>
      <c r="BG665" t="s">
        <v>74</v>
      </c>
      <c r="BH665" t="s">
        <v>74</v>
      </c>
      <c r="BI665">
        <v>10</v>
      </c>
      <c r="BJ665" t="s">
        <v>351</v>
      </c>
      <c r="BK665" t="s">
        <v>97</v>
      </c>
      <c r="BL665" t="s">
        <v>351</v>
      </c>
      <c r="BM665" t="s">
        <v>11112</v>
      </c>
      <c r="BN665" t="s">
        <v>74</v>
      </c>
      <c r="BO665" t="s">
        <v>11127</v>
      </c>
      <c r="BP665" t="s">
        <v>74</v>
      </c>
      <c r="BQ665" t="s">
        <v>74</v>
      </c>
      <c r="BR665" t="s">
        <v>100</v>
      </c>
      <c r="BS665" t="s">
        <v>11128</v>
      </c>
      <c r="BT665" t="str">
        <f>HYPERLINK("https%3A%2F%2Fwww.webofscience.com%2Fwos%2Fwoscc%2Ffull-record%2FWOS:000251063000006","View Full Record in Web of Science")</f>
        <v>View Full Record in Web of Science</v>
      </c>
    </row>
    <row r="666" spans="1:72" x14ac:dyDescent="0.15">
      <c r="A666" t="s">
        <v>72</v>
      </c>
      <c r="B666" t="s">
        <v>11129</v>
      </c>
      <c r="C666" t="s">
        <v>74</v>
      </c>
      <c r="D666" t="s">
        <v>74</v>
      </c>
      <c r="E666" t="s">
        <v>74</v>
      </c>
      <c r="F666" t="s">
        <v>11130</v>
      </c>
      <c r="G666" t="s">
        <v>74</v>
      </c>
      <c r="H666" t="s">
        <v>74</v>
      </c>
      <c r="I666" t="s">
        <v>11131</v>
      </c>
      <c r="J666" t="s">
        <v>333</v>
      </c>
      <c r="K666" t="s">
        <v>74</v>
      </c>
      <c r="L666" t="s">
        <v>74</v>
      </c>
      <c r="M666" t="s">
        <v>78</v>
      </c>
      <c r="N666" t="s">
        <v>79</v>
      </c>
      <c r="O666" t="s">
        <v>74</v>
      </c>
      <c r="P666" t="s">
        <v>74</v>
      </c>
      <c r="Q666" t="s">
        <v>74</v>
      </c>
      <c r="R666" t="s">
        <v>74</v>
      </c>
      <c r="S666" t="s">
        <v>74</v>
      </c>
      <c r="T666" t="s">
        <v>74</v>
      </c>
      <c r="U666" t="s">
        <v>11132</v>
      </c>
      <c r="V666" t="s">
        <v>11133</v>
      </c>
      <c r="W666" t="s">
        <v>11134</v>
      </c>
      <c r="X666" t="s">
        <v>11135</v>
      </c>
      <c r="Y666" t="s">
        <v>11136</v>
      </c>
      <c r="Z666" t="s">
        <v>11137</v>
      </c>
      <c r="AA666" t="s">
        <v>11138</v>
      </c>
      <c r="AB666" t="s">
        <v>11139</v>
      </c>
      <c r="AC666" t="s">
        <v>394</v>
      </c>
      <c r="AD666" t="s">
        <v>242</v>
      </c>
      <c r="AE666" t="s">
        <v>74</v>
      </c>
      <c r="AF666" t="s">
        <v>74</v>
      </c>
      <c r="AG666">
        <v>61</v>
      </c>
      <c r="AH666">
        <v>72</v>
      </c>
      <c r="AI666">
        <v>74</v>
      </c>
      <c r="AJ666">
        <v>0</v>
      </c>
      <c r="AK666">
        <v>9</v>
      </c>
      <c r="AL666" t="s">
        <v>193</v>
      </c>
      <c r="AM666" t="s">
        <v>194</v>
      </c>
      <c r="AN666" t="s">
        <v>195</v>
      </c>
      <c r="AO666" t="s">
        <v>344</v>
      </c>
      <c r="AP666" t="s">
        <v>345</v>
      </c>
      <c r="AQ666" t="s">
        <v>74</v>
      </c>
      <c r="AR666" t="s">
        <v>346</v>
      </c>
      <c r="AS666" t="s">
        <v>347</v>
      </c>
      <c r="AT666" t="s">
        <v>11108</v>
      </c>
      <c r="AU666">
        <v>2007</v>
      </c>
      <c r="AV666">
        <v>112</v>
      </c>
      <c r="AW666" t="s">
        <v>11109</v>
      </c>
      <c r="AX666" t="s">
        <v>74</v>
      </c>
      <c r="AY666" t="s">
        <v>74</v>
      </c>
      <c r="AZ666" t="s">
        <v>74</v>
      </c>
      <c r="BA666" t="s">
        <v>74</v>
      </c>
      <c r="BB666" t="s">
        <v>74</v>
      </c>
      <c r="BC666" t="s">
        <v>74</v>
      </c>
      <c r="BD666" t="s">
        <v>11140</v>
      </c>
      <c r="BE666" t="s">
        <v>11141</v>
      </c>
      <c r="BF666" t="str">
        <f>HYPERLINK("http://dx.doi.org/10.1029/2007JA012383","http://dx.doi.org/10.1029/2007JA012383")</f>
        <v>http://dx.doi.org/10.1029/2007JA012383</v>
      </c>
      <c r="BG666" t="s">
        <v>74</v>
      </c>
      <c r="BH666" t="s">
        <v>74</v>
      </c>
      <c r="BI666">
        <v>12</v>
      </c>
      <c r="BJ666" t="s">
        <v>351</v>
      </c>
      <c r="BK666" t="s">
        <v>97</v>
      </c>
      <c r="BL666" t="s">
        <v>351</v>
      </c>
      <c r="BM666" t="s">
        <v>11112</v>
      </c>
      <c r="BN666" t="s">
        <v>74</v>
      </c>
      <c r="BO666" t="s">
        <v>11142</v>
      </c>
      <c r="BP666" t="s">
        <v>74</v>
      </c>
      <c r="BQ666" t="s">
        <v>74</v>
      </c>
      <c r="BR666" t="s">
        <v>100</v>
      </c>
      <c r="BS666" t="s">
        <v>11143</v>
      </c>
      <c r="BT666" t="str">
        <f>HYPERLINK("https%3A%2F%2Fwww.webofscience.com%2Fwos%2Fwoscc%2Ffull-record%2FWOS:000251063000004","View Full Record in Web of Science")</f>
        <v>View Full Record in Web of Science</v>
      </c>
    </row>
    <row r="667" spans="1:72" x14ac:dyDescent="0.15">
      <c r="A667" t="s">
        <v>72</v>
      </c>
      <c r="B667" t="s">
        <v>11144</v>
      </c>
      <c r="C667" t="s">
        <v>74</v>
      </c>
      <c r="D667" t="s">
        <v>74</v>
      </c>
      <c r="E667" t="s">
        <v>74</v>
      </c>
      <c r="F667" t="s">
        <v>11145</v>
      </c>
      <c r="G667" t="s">
        <v>74</v>
      </c>
      <c r="H667" t="s">
        <v>74</v>
      </c>
      <c r="I667" t="s">
        <v>11146</v>
      </c>
      <c r="J667" t="s">
        <v>11147</v>
      </c>
      <c r="K667" t="s">
        <v>74</v>
      </c>
      <c r="L667" t="s">
        <v>74</v>
      </c>
      <c r="M667" t="s">
        <v>78</v>
      </c>
      <c r="N667" t="s">
        <v>79</v>
      </c>
      <c r="O667" t="s">
        <v>74</v>
      </c>
      <c r="P667" t="s">
        <v>74</v>
      </c>
      <c r="Q667" t="s">
        <v>74</v>
      </c>
      <c r="R667" t="s">
        <v>74</v>
      </c>
      <c r="S667" t="s">
        <v>74</v>
      </c>
      <c r="T667" t="s">
        <v>11148</v>
      </c>
      <c r="U667" t="s">
        <v>11149</v>
      </c>
      <c r="V667" t="s">
        <v>11150</v>
      </c>
      <c r="W667" t="s">
        <v>11151</v>
      </c>
      <c r="X667" t="s">
        <v>11152</v>
      </c>
      <c r="Y667" t="s">
        <v>11153</v>
      </c>
      <c r="Z667" t="s">
        <v>11154</v>
      </c>
      <c r="AA667" t="s">
        <v>74</v>
      </c>
      <c r="AB667" t="s">
        <v>74</v>
      </c>
      <c r="AC667" t="s">
        <v>74</v>
      </c>
      <c r="AD667" t="s">
        <v>74</v>
      </c>
      <c r="AE667" t="s">
        <v>74</v>
      </c>
      <c r="AF667" t="s">
        <v>74</v>
      </c>
      <c r="AG667">
        <v>30</v>
      </c>
      <c r="AH667">
        <v>12</v>
      </c>
      <c r="AI667">
        <v>12</v>
      </c>
      <c r="AJ667">
        <v>0</v>
      </c>
      <c r="AK667">
        <v>6</v>
      </c>
      <c r="AL667" t="s">
        <v>506</v>
      </c>
      <c r="AM667" t="s">
        <v>266</v>
      </c>
      <c r="AN667" t="s">
        <v>507</v>
      </c>
      <c r="AO667" t="s">
        <v>11155</v>
      </c>
      <c r="AP667" t="s">
        <v>11156</v>
      </c>
      <c r="AQ667" t="s">
        <v>74</v>
      </c>
      <c r="AR667" t="s">
        <v>11147</v>
      </c>
      <c r="AS667" t="s">
        <v>11157</v>
      </c>
      <c r="AT667" t="s">
        <v>11158</v>
      </c>
      <c r="AU667">
        <v>2007</v>
      </c>
      <c r="AV667">
        <v>92</v>
      </c>
      <c r="AW667" t="s">
        <v>551</v>
      </c>
      <c r="AX667" t="s">
        <v>74</v>
      </c>
      <c r="AY667" t="s">
        <v>74</v>
      </c>
      <c r="AZ667" t="s">
        <v>74</v>
      </c>
      <c r="BA667" t="s">
        <v>74</v>
      </c>
      <c r="BB667">
        <v>12</v>
      </c>
      <c r="BC667">
        <v>24</v>
      </c>
      <c r="BD667" t="s">
        <v>74</v>
      </c>
      <c r="BE667" t="s">
        <v>11159</v>
      </c>
      <c r="BF667" t="str">
        <f>HYPERLINK("http://dx.doi.org/10.1016/j.geomorph.2007.02.013","http://dx.doi.org/10.1016/j.geomorph.2007.02.013")</f>
        <v>http://dx.doi.org/10.1016/j.geomorph.2007.02.013</v>
      </c>
      <c r="BG667" t="s">
        <v>74</v>
      </c>
      <c r="BH667" t="s">
        <v>74</v>
      </c>
      <c r="BI667">
        <v>13</v>
      </c>
      <c r="BJ667" t="s">
        <v>2748</v>
      </c>
      <c r="BK667" t="s">
        <v>97</v>
      </c>
      <c r="BL667" t="s">
        <v>2749</v>
      </c>
      <c r="BM667" t="s">
        <v>11160</v>
      </c>
      <c r="BN667" t="s">
        <v>74</v>
      </c>
      <c r="BO667" t="s">
        <v>74</v>
      </c>
      <c r="BP667" t="s">
        <v>74</v>
      </c>
      <c r="BQ667" t="s">
        <v>74</v>
      </c>
      <c r="BR667" t="s">
        <v>100</v>
      </c>
      <c r="BS667" t="s">
        <v>11161</v>
      </c>
      <c r="BT667" t="str">
        <f>HYPERLINK("https%3A%2F%2Fwww.webofscience.com%2Fwos%2Fwoscc%2Ffull-record%2FWOS:000251892300002","View Full Record in Web of Science")</f>
        <v>View Full Record in Web of Science</v>
      </c>
    </row>
    <row r="668" spans="1:72" x14ac:dyDescent="0.15">
      <c r="A668" t="s">
        <v>72</v>
      </c>
      <c r="B668" t="s">
        <v>11162</v>
      </c>
      <c r="C668" t="s">
        <v>74</v>
      </c>
      <c r="D668" t="s">
        <v>74</v>
      </c>
      <c r="E668" t="s">
        <v>74</v>
      </c>
      <c r="F668" t="s">
        <v>11163</v>
      </c>
      <c r="G668" t="s">
        <v>74</v>
      </c>
      <c r="H668" t="s">
        <v>74</v>
      </c>
      <c r="I668" t="s">
        <v>11164</v>
      </c>
      <c r="J668" t="s">
        <v>11165</v>
      </c>
      <c r="K668" t="s">
        <v>74</v>
      </c>
      <c r="L668" t="s">
        <v>74</v>
      </c>
      <c r="M668" t="s">
        <v>78</v>
      </c>
      <c r="N668" t="s">
        <v>79</v>
      </c>
      <c r="O668" t="s">
        <v>74</v>
      </c>
      <c r="P668" t="s">
        <v>74</v>
      </c>
      <c r="Q668" t="s">
        <v>74</v>
      </c>
      <c r="R668" t="s">
        <v>74</v>
      </c>
      <c r="S668" t="s">
        <v>74</v>
      </c>
      <c r="T668" t="s">
        <v>11166</v>
      </c>
      <c r="U668" t="s">
        <v>11167</v>
      </c>
      <c r="V668" t="s">
        <v>11168</v>
      </c>
      <c r="W668" t="s">
        <v>11169</v>
      </c>
      <c r="X668" t="s">
        <v>9477</v>
      </c>
      <c r="Y668" t="s">
        <v>11170</v>
      </c>
      <c r="Z668" t="s">
        <v>11171</v>
      </c>
      <c r="AA668" t="s">
        <v>9480</v>
      </c>
      <c r="AB668" t="s">
        <v>9481</v>
      </c>
      <c r="AC668" t="s">
        <v>74</v>
      </c>
      <c r="AD668" t="s">
        <v>74</v>
      </c>
      <c r="AE668" t="s">
        <v>74</v>
      </c>
      <c r="AF668" t="s">
        <v>74</v>
      </c>
      <c r="AG668">
        <v>41</v>
      </c>
      <c r="AH668">
        <v>3</v>
      </c>
      <c r="AI668">
        <v>4</v>
      </c>
      <c r="AJ668">
        <v>0</v>
      </c>
      <c r="AK668">
        <v>4</v>
      </c>
      <c r="AL668" t="s">
        <v>1219</v>
      </c>
      <c r="AM668" t="s">
        <v>89</v>
      </c>
      <c r="AN668" t="s">
        <v>90</v>
      </c>
      <c r="AO668" t="s">
        <v>11172</v>
      </c>
      <c r="AP668" t="s">
        <v>11173</v>
      </c>
      <c r="AQ668" t="s">
        <v>74</v>
      </c>
      <c r="AR668" t="s">
        <v>11174</v>
      </c>
      <c r="AS668" t="s">
        <v>11175</v>
      </c>
      <c r="AT668" t="s">
        <v>11158</v>
      </c>
      <c r="AU668">
        <v>2007</v>
      </c>
      <c r="AV668">
        <v>27</v>
      </c>
      <c r="AW668">
        <v>13</v>
      </c>
      <c r="AX668" t="s">
        <v>74</v>
      </c>
      <c r="AY668" t="s">
        <v>74</v>
      </c>
      <c r="AZ668" t="s">
        <v>74</v>
      </c>
      <c r="BA668" t="s">
        <v>74</v>
      </c>
      <c r="BB668">
        <v>1735</v>
      </c>
      <c r="BC668">
        <v>1751</v>
      </c>
      <c r="BD668" t="s">
        <v>74</v>
      </c>
      <c r="BE668" t="s">
        <v>11176</v>
      </c>
      <c r="BF668" t="str">
        <f>HYPERLINK("http://dx.doi.org/10.1002/joc.1488","http://dx.doi.org/10.1002/joc.1488")</f>
        <v>http://dx.doi.org/10.1002/joc.1488</v>
      </c>
      <c r="BG668" t="s">
        <v>74</v>
      </c>
      <c r="BH668" t="s">
        <v>74</v>
      </c>
      <c r="BI668">
        <v>17</v>
      </c>
      <c r="BJ668" t="s">
        <v>204</v>
      </c>
      <c r="BK668" t="s">
        <v>97</v>
      </c>
      <c r="BL668" t="s">
        <v>204</v>
      </c>
      <c r="BM668" t="s">
        <v>11177</v>
      </c>
      <c r="BN668" t="s">
        <v>74</v>
      </c>
      <c r="BO668" t="s">
        <v>74</v>
      </c>
      <c r="BP668" t="s">
        <v>74</v>
      </c>
      <c r="BQ668" t="s">
        <v>74</v>
      </c>
      <c r="BR668" t="s">
        <v>100</v>
      </c>
      <c r="BS668" t="s">
        <v>11178</v>
      </c>
      <c r="BT668" t="str">
        <f>HYPERLINK("https%3A%2F%2Fwww.webofscience.com%2Fwos%2Fwoscc%2Ffull-record%2FWOS:000251292600003","View Full Record in Web of Science")</f>
        <v>View Full Record in Web of Science</v>
      </c>
    </row>
    <row r="669" spans="1:72" x14ac:dyDescent="0.15">
      <c r="A669" t="s">
        <v>72</v>
      </c>
      <c r="B669" t="s">
        <v>3246</v>
      </c>
      <c r="C669" t="s">
        <v>74</v>
      </c>
      <c r="D669" t="s">
        <v>74</v>
      </c>
      <c r="E669" t="s">
        <v>74</v>
      </c>
      <c r="F669" t="s">
        <v>11179</v>
      </c>
      <c r="G669" t="s">
        <v>74</v>
      </c>
      <c r="H669" t="s">
        <v>74</v>
      </c>
      <c r="I669" t="s">
        <v>11180</v>
      </c>
      <c r="J669" t="s">
        <v>11181</v>
      </c>
      <c r="K669" t="s">
        <v>74</v>
      </c>
      <c r="L669" t="s">
        <v>74</v>
      </c>
      <c r="M669" t="s">
        <v>78</v>
      </c>
      <c r="N669" t="s">
        <v>79</v>
      </c>
      <c r="O669" t="s">
        <v>74</v>
      </c>
      <c r="P669" t="s">
        <v>74</v>
      </c>
      <c r="Q669" t="s">
        <v>74</v>
      </c>
      <c r="R669" t="s">
        <v>74</v>
      </c>
      <c r="S669" t="s">
        <v>74</v>
      </c>
      <c r="T669" t="s">
        <v>74</v>
      </c>
      <c r="U669" t="s">
        <v>11182</v>
      </c>
      <c r="V669" t="s">
        <v>11183</v>
      </c>
      <c r="W669" t="s">
        <v>439</v>
      </c>
      <c r="X669" t="s">
        <v>440</v>
      </c>
      <c r="Y669" t="s">
        <v>11184</v>
      </c>
      <c r="Z669" t="s">
        <v>74</v>
      </c>
      <c r="AA669" t="s">
        <v>11185</v>
      </c>
      <c r="AB669" t="s">
        <v>11186</v>
      </c>
      <c r="AC669" t="s">
        <v>3298</v>
      </c>
      <c r="AD669" t="s">
        <v>444</v>
      </c>
      <c r="AE669" t="s">
        <v>74</v>
      </c>
      <c r="AF669" t="s">
        <v>74</v>
      </c>
      <c r="AG669">
        <v>41</v>
      </c>
      <c r="AH669">
        <v>76</v>
      </c>
      <c r="AI669">
        <v>85</v>
      </c>
      <c r="AJ669">
        <v>0</v>
      </c>
      <c r="AK669">
        <v>11</v>
      </c>
      <c r="AL669" t="s">
        <v>193</v>
      </c>
      <c r="AM669" t="s">
        <v>194</v>
      </c>
      <c r="AN669" t="s">
        <v>195</v>
      </c>
      <c r="AO669" t="s">
        <v>11187</v>
      </c>
      <c r="AP669" t="s">
        <v>11188</v>
      </c>
      <c r="AQ669" t="s">
        <v>74</v>
      </c>
      <c r="AR669" t="s">
        <v>11189</v>
      </c>
      <c r="AS669" t="s">
        <v>11190</v>
      </c>
      <c r="AT669" t="s">
        <v>11158</v>
      </c>
      <c r="AU669">
        <v>2007</v>
      </c>
      <c r="AV669">
        <v>112</v>
      </c>
      <c r="AW669" t="s">
        <v>11191</v>
      </c>
      <c r="AX669" t="s">
        <v>74</v>
      </c>
      <c r="AY669" t="s">
        <v>74</v>
      </c>
      <c r="AZ669" t="s">
        <v>74</v>
      </c>
      <c r="BA669" t="s">
        <v>74</v>
      </c>
      <c r="BB669" t="s">
        <v>74</v>
      </c>
      <c r="BC669" t="s">
        <v>74</v>
      </c>
      <c r="BD669" t="s">
        <v>11192</v>
      </c>
      <c r="BE669" t="s">
        <v>11193</v>
      </c>
      <c r="BF669" t="str">
        <f>HYPERLINK("http://dx.doi.org/10.1029/2006JF000731","http://dx.doi.org/10.1029/2006JF000731")</f>
        <v>http://dx.doi.org/10.1029/2006JF000731</v>
      </c>
      <c r="BG669" t="s">
        <v>74</v>
      </c>
      <c r="BH669" t="s">
        <v>74</v>
      </c>
      <c r="BI669">
        <v>8</v>
      </c>
      <c r="BJ669" t="s">
        <v>96</v>
      </c>
      <c r="BK669" t="s">
        <v>97</v>
      </c>
      <c r="BL669" t="s">
        <v>98</v>
      </c>
      <c r="BM669" t="s">
        <v>11194</v>
      </c>
      <c r="BN669" t="s">
        <v>74</v>
      </c>
      <c r="BO669" t="s">
        <v>179</v>
      </c>
      <c r="BP669" t="s">
        <v>74</v>
      </c>
      <c r="BQ669" t="s">
        <v>74</v>
      </c>
      <c r="BR669" t="s">
        <v>100</v>
      </c>
      <c r="BS669" t="s">
        <v>11195</v>
      </c>
      <c r="BT669" t="str">
        <f>HYPERLINK("https%3A%2F%2Fwww.webofscience.com%2Fwos%2Fwoscc%2Ffull-record%2FWOS:000251061100001","View Full Record in Web of Science")</f>
        <v>View Full Record in Web of Science</v>
      </c>
    </row>
    <row r="670" spans="1:72" x14ac:dyDescent="0.15">
      <c r="A670" t="s">
        <v>72</v>
      </c>
      <c r="B670" t="s">
        <v>11196</v>
      </c>
      <c r="C670" t="s">
        <v>74</v>
      </c>
      <c r="D670" t="s">
        <v>74</v>
      </c>
      <c r="E670" t="s">
        <v>74</v>
      </c>
      <c r="F670" t="s">
        <v>11197</v>
      </c>
      <c r="G670" t="s">
        <v>74</v>
      </c>
      <c r="H670" t="s">
        <v>74</v>
      </c>
      <c r="I670" t="s">
        <v>11198</v>
      </c>
      <c r="J670" t="s">
        <v>419</v>
      </c>
      <c r="K670" t="s">
        <v>74</v>
      </c>
      <c r="L670" t="s">
        <v>74</v>
      </c>
      <c r="M670" t="s">
        <v>78</v>
      </c>
      <c r="N670" t="s">
        <v>79</v>
      </c>
      <c r="O670" t="s">
        <v>74</v>
      </c>
      <c r="P670" t="s">
        <v>74</v>
      </c>
      <c r="Q670" t="s">
        <v>74</v>
      </c>
      <c r="R670" t="s">
        <v>74</v>
      </c>
      <c r="S670" t="s">
        <v>74</v>
      </c>
      <c r="T670" t="s">
        <v>74</v>
      </c>
      <c r="U670" t="s">
        <v>11199</v>
      </c>
      <c r="V670" t="s">
        <v>11200</v>
      </c>
      <c r="W670" t="s">
        <v>11201</v>
      </c>
      <c r="X670" t="s">
        <v>11202</v>
      </c>
      <c r="Y670" t="s">
        <v>11203</v>
      </c>
      <c r="Z670" t="s">
        <v>11204</v>
      </c>
      <c r="AA670" t="s">
        <v>11205</v>
      </c>
      <c r="AB670" t="s">
        <v>11206</v>
      </c>
      <c r="AC670" t="s">
        <v>11207</v>
      </c>
      <c r="AD670" t="s">
        <v>242</v>
      </c>
      <c r="AE670" t="s">
        <v>74</v>
      </c>
      <c r="AF670" t="s">
        <v>74</v>
      </c>
      <c r="AG670">
        <v>58</v>
      </c>
      <c r="AH670">
        <v>19</v>
      </c>
      <c r="AI670">
        <v>20</v>
      </c>
      <c r="AJ670">
        <v>1</v>
      </c>
      <c r="AK670">
        <v>13</v>
      </c>
      <c r="AL670" t="s">
        <v>193</v>
      </c>
      <c r="AM670" t="s">
        <v>194</v>
      </c>
      <c r="AN670" t="s">
        <v>195</v>
      </c>
      <c r="AO670" t="s">
        <v>426</v>
      </c>
      <c r="AP670" t="s">
        <v>427</v>
      </c>
      <c r="AQ670" t="s">
        <v>74</v>
      </c>
      <c r="AR670" t="s">
        <v>419</v>
      </c>
      <c r="AS670" t="s">
        <v>428</v>
      </c>
      <c r="AT670" t="s">
        <v>11158</v>
      </c>
      <c r="AU670">
        <v>2007</v>
      </c>
      <c r="AV670">
        <v>22</v>
      </c>
      <c r="AW670">
        <v>4</v>
      </c>
      <c r="AX670" t="s">
        <v>74</v>
      </c>
      <c r="AY670" t="s">
        <v>74</v>
      </c>
      <c r="AZ670" t="s">
        <v>74</v>
      </c>
      <c r="BA670" t="s">
        <v>74</v>
      </c>
      <c r="BB670" t="s">
        <v>74</v>
      </c>
      <c r="BC670" t="s">
        <v>74</v>
      </c>
      <c r="BD670" t="s">
        <v>11208</v>
      </c>
      <c r="BE670" t="s">
        <v>11209</v>
      </c>
      <c r="BF670" t="str">
        <f>HYPERLINK("http://dx.doi.org/10.1029/2007PA001415","http://dx.doi.org/10.1029/2007PA001415")</f>
        <v>http://dx.doi.org/10.1029/2007PA001415</v>
      </c>
      <c r="BG670" t="s">
        <v>74</v>
      </c>
      <c r="BH670" t="s">
        <v>74</v>
      </c>
      <c r="BI670">
        <v>12</v>
      </c>
      <c r="BJ670" t="s">
        <v>431</v>
      </c>
      <c r="BK670" t="s">
        <v>97</v>
      </c>
      <c r="BL670" t="s">
        <v>432</v>
      </c>
      <c r="BM670" t="s">
        <v>11210</v>
      </c>
      <c r="BN670" t="s">
        <v>74</v>
      </c>
      <c r="BO670" t="s">
        <v>11211</v>
      </c>
      <c r="BP670" t="s">
        <v>74</v>
      </c>
      <c r="BQ670" t="s">
        <v>74</v>
      </c>
      <c r="BR670" t="s">
        <v>100</v>
      </c>
      <c r="BS670" t="s">
        <v>11212</v>
      </c>
      <c r="BT670" t="str">
        <f>HYPERLINK("https%3A%2F%2Fwww.webofscience.com%2Fwos%2Fwoscc%2Ffull-record%2FWOS:000251063200001","View Full Record in Web of Science")</f>
        <v>View Full Record in Web of Science</v>
      </c>
    </row>
    <row r="671" spans="1:72" x14ac:dyDescent="0.15">
      <c r="A671" t="s">
        <v>72</v>
      </c>
      <c r="B671" t="s">
        <v>11213</v>
      </c>
      <c r="C671" t="s">
        <v>74</v>
      </c>
      <c r="D671" t="s">
        <v>74</v>
      </c>
      <c r="E671" t="s">
        <v>74</v>
      </c>
      <c r="F671" t="s">
        <v>11214</v>
      </c>
      <c r="G671" t="s">
        <v>74</v>
      </c>
      <c r="H671" t="s">
        <v>74</v>
      </c>
      <c r="I671" t="s">
        <v>11215</v>
      </c>
      <c r="J671" t="s">
        <v>10925</v>
      </c>
      <c r="K671" t="s">
        <v>74</v>
      </c>
      <c r="L671" t="s">
        <v>74</v>
      </c>
      <c r="M671" t="s">
        <v>78</v>
      </c>
      <c r="N671" t="s">
        <v>79</v>
      </c>
      <c r="O671" t="s">
        <v>74</v>
      </c>
      <c r="P671" t="s">
        <v>74</v>
      </c>
      <c r="Q671" t="s">
        <v>74</v>
      </c>
      <c r="R671" t="s">
        <v>74</v>
      </c>
      <c r="S671" t="s">
        <v>74</v>
      </c>
      <c r="T671" t="s">
        <v>11216</v>
      </c>
      <c r="U671" t="s">
        <v>11217</v>
      </c>
      <c r="V671" t="s">
        <v>11218</v>
      </c>
      <c r="W671" t="s">
        <v>11219</v>
      </c>
      <c r="X671" t="s">
        <v>11220</v>
      </c>
      <c r="Y671" t="s">
        <v>11221</v>
      </c>
      <c r="Z671" t="s">
        <v>11222</v>
      </c>
      <c r="AA671" t="s">
        <v>74</v>
      </c>
      <c r="AB671" t="s">
        <v>11223</v>
      </c>
      <c r="AC671" t="s">
        <v>74</v>
      </c>
      <c r="AD671" t="s">
        <v>74</v>
      </c>
      <c r="AE671" t="s">
        <v>74</v>
      </c>
      <c r="AF671" t="s">
        <v>74</v>
      </c>
      <c r="AG671">
        <v>22</v>
      </c>
      <c r="AH671">
        <v>73</v>
      </c>
      <c r="AI671">
        <v>83</v>
      </c>
      <c r="AJ671">
        <v>1</v>
      </c>
      <c r="AK671">
        <v>18</v>
      </c>
      <c r="AL671" t="s">
        <v>661</v>
      </c>
      <c r="AM671" t="s">
        <v>662</v>
      </c>
      <c r="AN671" t="s">
        <v>10933</v>
      </c>
      <c r="AO671" t="s">
        <v>10934</v>
      </c>
      <c r="AP671" t="s">
        <v>10952</v>
      </c>
      <c r="AQ671" t="s">
        <v>74</v>
      </c>
      <c r="AR671" t="s">
        <v>10935</v>
      </c>
      <c r="AS671" t="s">
        <v>10936</v>
      </c>
      <c r="AT671" t="s">
        <v>11158</v>
      </c>
      <c r="AU671">
        <v>2007</v>
      </c>
      <c r="AV671">
        <v>111</v>
      </c>
      <c r="AW671">
        <v>1</v>
      </c>
      <c r="AX671" t="s">
        <v>74</v>
      </c>
      <c r="AY671" t="s">
        <v>74</v>
      </c>
      <c r="AZ671" t="s">
        <v>74</v>
      </c>
      <c r="BA671" t="s">
        <v>74</v>
      </c>
      <c r="BB671">
        <v>25</v>
      </c>
      <c r="BC671">
        <v>35</v>
      </c>
      <c r="BD671" t="s">
        <v>74</v>
      </c>
      <c r="BE671" t="s">
        <v>11224</v>
      </c>
      <c r="BF671" t="str">
        <f>HYPERLINK("http://dx.doi.org/10.1016/j.rse.2007.03.008","http://dx.doi.org/10.1016/j.rse.2007.03.008")</f>
        <v>http://dx.doi.org/10.1016/j.rse.2007.03.008</v>
      </c>
      <c r="BG671" t="s">
        <v>74</v>
      </c>
      <c r="BH671" t="s">
        <v>74</v>
      </c>
      <c r="BI671">
        <v>11</v>
      </c>
      <c r="BJ671" t="s">
        <v>5162</v>
      </c>
      <c r="BK671" t="s">
        <v>97</v>
      </c>
      <c r="BL671" t="s">
        <v>5163</v>
      </c>
      <c r="BM671" t="s">
        <v>11225</v>
      </c>
      <c r="BN671" t="s">
        <v>74</v>
      </c>
      <c r="BO671" t="s">
        <v>1050</v>
      </c>
      <c r="BP671" t="s">
        <v>74</v>
      </c>
      <c r="BQ671" t="s">
        <v>74</v>
      </c>
      <c r="BR671" t="s">
        <v>100</v>
      </c>
      <c r="BS671" t="s">
        <v>11226</v>
      </c>
      <c r="BT671" t="str">
        <f>HYPERLINK("https%3A%2F%2Fwww.webofscience.com%2Fwos%2Fwoscc%2Ffull-record%2FWOS:000250243500003","View Full Record in Web of Science")</f>
        <v>View Full Record in Web of Science</v>
      </c>
    </row>
    <row r="672" spans="1:72" x14ac:dyDescent="0.15">
      <c r="A672" t="s">
        <v>72</v>
      </c>
      <c r="B672" t="s">
        <v>11227</v>
      </c>
      <c r="C672" t="s">
        <v>74</v>
      </c>
      <c r="D672" t="s">
        <v>74</v>
      </c>
      <c r="E672" t="s">
        <v>74</v>
      </c>
      <c r="F672" t="s">
        <v>11228</v>
      </c>
      <c r="G672" t="s">
        <v>74</v>
      </c>
      <c r="H672" t="s">
        <v>74</v>
      </c>
      <c r="I672" t="s">
        <v>11229</v>
      </c>
      <c r="J672" t="s">
        <v>11230</v>
      </c>
      <c r="K672" t="s">
        <v>74</v>
      </c>
      <c r="L672" t="s">
        <v>74</v>
      </c>
      <c r="M672" t="s">
        <v>78</v>
      </c>
      <c r="N672" t="s">
        <v>79</v>
      </c>
      <c r="O672" t="s">
        <v>74</v>
      </c>
      <c r="P672" t="s">
        <v>74</v>
      </c>
      <c r="Q672" t="s">
        <v>74</v>
      </c>
      <c r="R672" t="s">
        <v>74</v>
      </c>
      <c r="S672" t="s">
        <v>74</v>
      </c>
      <c r="T672" t="s">
        <v>74</v>
      </c>
      <c r="U672" t="s">
        <v>11231</v>
      </c>
      <c r="V672" t="s">
        <v>11232</v>
      </c>
      <c r="W672" t="s">
        <v>11233</v>
      </c>
      <c r="X672" t="s">
        <v>11234</v>
      </c>
      <c r="Y672" t="s">
        <v>11235</v>
      </c>
      <c r="Z672" t="s">
        <v>11236</v>
      </c>
      <c r="AA672" t="s">
        <v>74</v>
      </c>
      <c r="AB672" t="s">
        <v>74</v>
      </c>
      <c r="AC672" t="s">
        <v>74</v>
      </c>
      <c r="AD672" t="s">
        <v>74</v>
      </c>
      <c r="AE672" t="s">
        <v>74</v>
      </c>
      <c r="AF672" t="s">
        <v>74</v>
      </c>
      <c r="AG672">
        <v>30</v>
      </c>
      <c r="AH672">
        <v>15</v>
      </c>
      <c r="AI672">
        <v>15</v>
      </c>
      <c r="AJ672">
        <v>0</v>
      </c>
      <c r="AK672">
        <v>15</v>
      </c>
      <c r="AL672" t="s">
        <v>506</v>
      </c>
      <c r="AM672" t="s">
        <v>266</v>
      </c>
      <c r="AN672" t="s">
        <v>507</v>
      </c>
      <c r="AO672" t="s">
        <v>11237</v>
      </c>
      <c r="AP672" t="s">
        <v>74</v>
      </c>
      <c r="AQ672" t="s">
        <v>74</v>
      </c>
      <c r="AR672" t="s">
        <v>11238</v>
      </c>
      <c r="AS672" t="s">
        <v>11239</v>
      </c>
      <c r="AT672" t="s">
        <v>11240</v>
      </c>
      <c r="AU672">
        <v>2007</v>
      </c>
      <c r="AV672">
        <v>448</v>
      </c>
      <c r="AW672" t="s">
        <v>11241</v>
      </c>
      <c r="AX672" t="s">
        <v>74</v>
      </c>
      <c r="AY672" t="s">
        <v>74</v>
      </c>
      <c r="AZ672" t="s">
        <v>74</v>
      </c>
      <c r="BA672" t="s">
        <v>74</v>
      </c>
      <c r="BB672">
        <v>178</v>
      </c>
      <c r="BC672">
        <v>182</v>
      </c>
      <c r="BD672" t="s">
        <v>74</v>
      </c>
      <c r="BE672" t="s">
        <v>11242</v>
      </c>
      <c r="BF672" t="str">
        <f>HYPERLINK("http://dx.doi.org/10.1016/j.cplett.2007.10.018","http://dx.doi.org/10.1016/j.cplett.2007.10.018")</f>
        <v>http://dx.doi.org/10.1016/j.cplett.2007.10.018</v>
      </c>
      <c r="BG672" t="s">
        <v>74</v>
      </c>
      <c r="BH672" t="s">
        <v>74</v>
      </c>
      <c r="BI672">
        <v>5</v>
      </c>
      <c r="BJ672" t="s">
        <v>11243</v>
      </c>
      <c r="BK672" t="s">
        <v>97</v>
      </c>
      <c r="BL672" t="s">
        <v>11244</v>
      </c>
      <c r="BM672" t="s">
        <v>11245</v>
      </c>
      <c r="BN672" t="s">
        <v>74</v>
      </c>
      <c r="BO672" t="s">
        <v>74</v>
      </c>
      <c r="BP672" t="s">
        <v>74</v>
      </c>
      <c r="BQ672" t="s">
        <v>74</v>
      </c>
      <c r="BR672" t="s">
        <v>100</v>
      </c>
      <c r="BS672" t="s">
        <v>11246</v>
      </c>
      <c r="BT672" t="str">
        <f>HYPERLINK("https%3A%2F%2Fwww.webofscience.com%2Fwos%2Fwoscc%2Ffull-record%2FWOS:000251408300006","View Full Record in Web of Science")</f>
        <v>View Full Record in Web of Science</v>
      </c>
    </row>
    <row r="673" spans="1:72" x14ac:dyDescent="0.15">
      <c r="A673" t="s">
        <v>72</v>
      </c>
      <c r="B673" t="s">
        <v>11247</v>
      </c>
      <c r="C673" t="s">
        <v>74</v>
      </c>
      <c r="D673" t="s">
        <v>74</v>
      </c>
      <c r="E673" t="s">
        <v>74</v>
      </c>
      <c r="F673" t="s">
        <v>11248</v>
      </c>
      <c r="G673" t="s">
        <v>74</v>
      </c>
      <c r="H673" t="s">
        <v>74</v>
      </c>
      <c r="I673" t="s">
        <v>11249</v>
      </c>
      <c r="J673" t="s">
        <v>233</v>
      </c>
      <c r="K673" t="s">
        <v>74</v>
      </c>
      <c r="L673" t="s">
        <v>74</v>
      </c>
      <c r="M673" t="s">
        <v>78</v>
      </c>
      <c r="N673" t="s">
        <v>79</v>
      </c>
      <c r="O673" t="s">
        <v>74</v>
      </c>
      <c r="P673" t="s">
        <v>74</v>
      </c>
      <c r="Q673" t="s">
        <v>74</v>
      </c>
      <c r="R673" t="s">
        <v>74</v>
      </c>
      <c r="S673" t="s">
        <v>74</v>
      </c>
      <c r="T673" t="s">
        <v>74</v>
      </c>
      <c r="U673" t="s">
        <v>11250</v>
      </c>
      <c r="V673" t="s">
        <v>11251</v>
      </c>
      <c r="W673" t="s">
        <v>11252</v>
      </c>
      <c r="X673" t="s">
        <v>11253</v>
      </c>
      <c r="Y673" t="s">
        <v>11254</v>
      </c>
      <c r="Z673" t="s">
        <v>11255</v>
      </c>
      <c r="AA673" t="s">
        <v>11256</v>
      </c>
      <c r="AB673" t="s">
        <v>11257</v>
      </c>
      <c r="AC673" t="s">
        <v>5625</v>
      </c>
      <c r="AD673" t="s">
        <v>242</v>
      </c>
      <c r="AE673" t="s">
        <v>74</v>
      </c>
      <c r="AF673" t="s">
        <v>74</v>
      </c>
      <c r="AG673">
        <v>29</v>
      </c>
      <c r="AH673">
        <v>62</v>
      </c>
      <c r="AI673">
        <v>63</v>
      </c>
      <c r="AJ673">
        <v>0</v>
      </c>
      <c r="AK673">
        <v>12</v>
      </c>
      <c r="AL673" t="s">
        <v>193</v>
      </c>
      <c r="AM673" t="s">
        <v>194</v>
      </c>
      <c r="AN673" t="s">
        <v>195</v>
      </c>
      <c r="AO673" t="s">
        <v>243</v>
      </c>
      <c r="AP673" t="s">
        <v>326</v>
      </c>
      <c r="AQ673" t="s">
        <v>74</v>
      </c>
      <c r="AR673" t="s">
        <v>244</v>
      </c>
      <c r="AS673" t="s">
        <v>245</v>
      </c>
      <c r="AT673" t="s">
        <v>11240</v>
      </c>
      <c r="AU673">
        <v>2007</v>
      </c>
      <c r="AV673">
        <v>34</v>
      </c>
      <c r="AW673">
        <v>21</v>
      </c>
      <c r="AX673" t="s">
        <v>74</v>
      </c>
      <c r="AY673" t="s">
        <v>74</v>
      </c>
      <c r="AZ673" t="s">
        <v>74</v>
      </c>
      <c r="BA673" t="s">
        <v>74</v>
      </c>
      <c r="BB673" t="s">
        <v>74</v>
      </c>
      <c r="BC673" t="s">
        <v>74</v>
      </c>
      <c r="BD673" t="s">
        <v>11258</v>
      </c>
      <c r="BE673" t="s">
        <v>11259</v>
      </c>
      <c r="BF673" t="str">
        <f>HYPERLINK("http://dx.doi.org/10.1029/2007GL031699","http://dx.doi.org/10.1029/2007GL031699")</f>
        <v>http://dx.doi.org/10.1029/2007GL031699</v>
      </c>
      <c r="BG673" t="s">
        <v>74</v>
      </c>
      <c r="BH673" t="s">
        <v>74</v>
      </c>
      <c r="BI673">
        <v>6</v>
      </c>
      <c r="BJ673" t="s">
        <v>96</v>
      </c>
      <c r="BK673" t="s">
        <v>97</v>
      </c>
      <c r="BL673" t="s">
        <v>98</v>
      </c>
      <c r="BM673" t="s">
        <v>11260</v>
      </c>
      <c r="BN673" t="s">
        <v>74</v>
      </c>
      <c r="BO673" t="s">
        <v>179</v>
      </c>
      <c r="BP673" t="s">
        <v>74</v>
      </c>
      <c r="BQ673" t="s">
        <v>74</v>
      </c>
      <c r="BR673" t="s">
        <v>100</v>
      </c>
      <c r="BS673" t="s">
        <v>11261</v>
      </c>
      <c r="BT673" t="str">
        <f>HYPERLINK("https%3A%2F%2Fwww.webofscience.com%2Fwos%2Fwoscc%2Ffull-record%2FWOS:000251059200006","View Full Record in Web of Science")</f>
        <v>View Full Record in Web of Science</v>
      </c>
    </row>
    <row r="674" spans="1:72" x14ac:dyDescent="0.15">
      <c r="A674" t="s">
        <v>72</v>
      </c>
      <c r="B674" t="s">
        <v>11262</v>
      </c>
      <c r="C674" t="s">
        <v>74</v>
      </c>
      <c r="D674" t="s">
        <v>74</v>
      </c>
      <c r="E674" t="s">
        <v>74</v>
      </c>
      <c r="F674" t="s">
        <v>11263</v>
      </c>
      <c r="G674" t="s">
        <v>74</v>
      </c>
      <c r="H674" t="s">
        <v>74</v>
      </c>
      <c r="I674" t="s">
        <v>11264</v>
      </c>
      <c r="J674" t="s">
        <v>184</v>
      </c>
      <c r="K674" t="s">
        <v>74</v>
      </c>
      <c r="L674" t="s">
        <v>74</v>
      </c>
      <c r="M674" t="s">
        <v>78</v>
      </c>
      <c r="N674" t="s">
        <v>79</v>
      </c>
      <c r="O674" t="s">
        <v>74</v>
      </c>
      <c r="P674" t="s">
        <v>74</v>
      </c>
      <c r="Q674" t="s">
        <v>74</v>
      </c>
      <c r="R674" t="s">
        <v>74</v>
      </c>
      <c r="S674" t="s">
        <v>74</v>
      </c>
      <c r="T674" t="s">
        <v>74</v>
      </c>
      <c r="U674" t="s">
        <v>11265</v>
      </c>
      <c r="V674" t="s">
        <v>11266</v>
      </c>
      <c r="W674" t="s">
        <v>11267</v>
      </c>
      <c r="X674" t="s">
        <v>11268</v>
      </c>
      <c r="Y674" t="s">
        <v>11269</v>
      </c>
      <c r="Z674" t="s">
        <v>11270</v>
      </c>
      <c r="AA674" t="s">
        <v>74</v>
      </c>
      <c r="AB674" t="s">
        <v>11271</v>
      </c>
      <c r="AC674" t="s">
        <v>74</v>
      </c>
      <c r="AD674" t="s">
        <v>74</v>
      </c>
      <c r="AE674" t="s">
        <v>74</v>
      </c>
      <c r="AF674" t="s">
        <v>74</v>
      </c>
      <c r="AG674">
        <v>33</v>
      </c>
      <c r="AH674">
        <v>4</v>
      </c>
      <c r="AI674">
        <v>4</v>
      </c>
      <c r="AJ674">
        <v>0</v>
      </c>
      <c r="AK674">
        <v>3</v>
      </c>
      <c r="AL674" t="s">
        <v>193</v>
      </c>
      <c r="AM674" t="s">
        <v>194</v>
      </c>
      <c r="AN674" t="s">
        <v>195</v>
      </c>
      <c r="AO674" t="s">
        <v>196</v>
      </c>
      <c r="AP674" t="s">
        <v>197</v>
      </c>
      <c r="AQ674" t="s">
        <v>74</v>
      </c>
      <c r="AR674" t="s">
        <v>198</v>
      </c>
      <c r="AS674" t="s">
        <v>199</v>
      </c>
      <c r="AT674" t="s">
        <v>11272</v>
      </c>
      <c r="AU674">
        <v>2007</v>
      </c>
      <c r="AV674">
        <v>112</v>
      </c>
      <c r="AW674" t="s">
        <v>11273</v>
      </c>
      <c r="AX674" t="s">
        <v>74</v>
      </c>
      <c r="AY674" t="s">
        <v>74</v>
      </c>
      <c r="AZ674" t="s">
        <v>74</v>
      </c>
      <c r="BA674" t="s">
        <v>74</v>
      </c>
      <c r="BB674" t="s">
        <v>74</v>
      </c>
      <c r="BC674" t="s">
        <v>74</v>
      </c>
      <c r="BD674" t="s">
        <v>11274</v>
      </c>
      <c r="BE674" t="s">
        <v>11275</v>
      </c>
      <c r="BF674" t="str">
        <f>HYPERLINK("http://dx.doi.org/10.1029/2006JD008034","http://dx.doi.org/10.1029/2006JD008034")</f>
        <v>http://dx.doi.org/10.1029/2006JD008034</v>
      </c>
      <c r="BG674" t="s">
        <v>74</v>
      </c>
      <c r="BH674" t="s">
        <v>74</v>
      </c>
      <c r="BI674">
        <v>19</v>
      </c>
      <c r="BJ674" t="s">
        <v>204</v>
      </c>
      <c r="BK674" t="s">
        <v>97</v>
      </c>
      <c r="BL674" t="s">
        <v>204</v>
      </c>
      <c r="BM674" t="s">
        <v>11276</v>
      </c>
      <c r="BN674" t="s">
        <v>74</v>
      </c>
      <c r="BO674" t="s">
        <v>179</v>
      </c>
      <c r="BP674" t="s">
        <v>74</v>
      </c>
      <c r="BQ674" t="s">
        <v>74</v>
      </c>
      <c r="BR674" t="s">
        <v>100</v>
      </c>
      <c r="BS674" t="s">
        <v>11277</v>
      </c>
      <c r="BT674" t="str">
        <f>HYPERLINK("https%3A%2F%2Fwww.webofscience.com%2Fwos%2Fwoscc%2Ffull-record%2FWOS:000251060500001","View Full Record in Web of Science")</f>
        <v>View Full Record in Web of Science</v>
      </c>
    </row>
    <row r="675" spans="1:72" x14ac:dyDescent="0.15">
      <c r="A675" t="s">
        <v>72</v>
      </c>
      <c r="B675" t="s">
        <v>11278</v>
      </c>
      <c r="C675" t="s">
        <v>74</v>
      </c>
      <c r="D675" t="s">
        <v>74</v>
      </c>
      <c r="E675" t="s">
        <v>74</v>
      </c>
      <c r="F675" t="s">
        <v>11279</v>
      </c>
      <c r="G675" t="s">
        <v>74</v>
      </c>
      <c r="H675" t="s">
        <v>74</v>
      </c>
      <c r="I675" t="s">
        <v>11280</v>
      </c>
      <c r="J675" t="s">
        <v>419</v>
      </c>
      <c r="K675" t="s">
        <v>74</v>
      </c>
      <c r="L675" t="s">
        <v>74</v>
      </c>
      <c r="M675" t="s">
        <v>78</v>
      </c>
      <c r="N675" t="s">
        <v>106</v>
      </c>
      <c r="O675" t="s">
        <v>74</v>
      </c>
      <c r="P675" t="s">
        <v>74</v>
      </c>
      <c r="Q675" t="s">
        <v>74</v>
      </c>
      <c r="R675" t="s">
        <v>74</v>
      </c>
      <c r="S675" t="s">
        <v>74</v>
      </c>
      <c r="T675" t="s">
        <v>74</v>
      </c>
      <c r="U675" t="s">
        <v>11281</v>
      </c>
      <c r="V675" t="s">
        <v>11282</v>
      </c>
      <c r="W675" t="s">
        <v>11283</v>
      </c>
      <c r="X675" t="s">
        <v>11284</v>
      </c>
      <c r="Y675" t="s">
        <v>11285</v>
      </c>
      <c r="Z675" t="s">
        <v>11286</v>
      </c>
      <c r="AA675" t="s">
        <v>11287</v>
      </c>
      <c r="AB675" t="s">
        <v>11288</v>
      </c>
      <c r="AC675" t="s">
        <v>11289</v>
      </c>
      <c r="AD675" t="s">
        <v>11290</v>
      </c>
      <c r="AE675" t="s">
        <v>74</v>
      </c>
      <c r="AF675" t="s">
        <v>74</v>
      </c>
      <c r="AG675">
        <v>110</v>
      </c>
      <c r="AH675">
        <v>21</v>
      </c>
      <c r="AI675">
        <v>23</v>
      </c>
      <c r="AJ675">
        <v>0</v>
      </c>
      <c r="AK675">
        <v>10</v>
      </c>
      <c r="AL675" t="s">
        <v>193</v>
      </c>
      <c r="AM675" t="s">
        <v>194</v>
      </c>
      <c r="AN675" t="s">
        <v>195</v>
      </c>
      <c r="AO675" t="s">
        <v>426</v>
      </c>
      <c r="AP675" t="s">
        <v>427</v>
      </c>
      <c r="AQ675" t="s">
        <v>74</v>
      </c>
      <c r="AR675" t="s">
        <v>419</v>
      </c>
      <c r="AS675" t="s">
        <v>428</v>
      </c>
      <c r="AT675" t="s">
        <v>11272</v>
      </c>
      <c r="AU675">
        <v>2007</v>
      </c>
      <c r="AV675">
        <v>22</v>
      </c>
      <c r="AW675">
        <v>4</v>
      </c>
      <c r="AX675" t="s">
        <v>74</v>
      </c>
      <c r="AY675" t="s">
        <v>74</v>
      </c>
      <c r="AZ675" t="s">
        <v>74</v>
      </c>
      <c r="BA675" t="s">
        <v>74</v>
      </c>
      <c r="BB675" t="s">
        <v>74</v>
      </c>
      <c r="BC675" t="s">
        <v>74</v>
      </c>
      <c r="BD675" t="s">
        <v>11291</v>
      </c>
      <c r="BE675" t="s">
        <v>11292</v>
      </c>
      <c r="BF675" t="str">
        <f>HYPERLINK("http://dx.doi.org/10.1029/2006PA001407","http://dx.doi.org/10.1029/2006PA001407")</f>
        <v>http://dx.doi.org/10.1029/2006PA001407</v>
      </c>
      <c r="BG675" t="s">
        <v>74</v>
      </c>
      <c r="BH675" t="s">
        <v>74</v>
      </c>
      <c r="BI675">
        <v>14</v>
      </c>
      <c r="BJ675" t="s">
        <v>431</v>
      </c>
      <c r="BK675" t="s">
        <v>97</v>
      </c>
      <c r="BL675" t="s">
        <v>432</v>
      </c>
      <c r="BM675" t="s">
        <v>11293</v>
      </c>
      <c r="BN675" t="s">
        <v>74</v>
      </c>
      <c r="BO675" t="s">
        <v>11294</v>
      </c>
      <c r="BP675" t="s">
        <v>74</v>
      </c>
      <c r="BQ675" t="s">
        <v>74</v>
      </c>
      <c r="BR675" t="s">
        <v>100</v>
      </c>
      <c r="BS675" t="s">
        <v>11295</v>
      </c>
      <c r="BT675" t="str">
        <f>HYPERLINK("https%3A%2F%2Fwww.webofscience.com%2Fwos%2Fwoscc%2Ffull-record%2FWOS:000251063100001","View Full Record in Web of Science")</f>
        <v>View Full Record in Web of Science</v>
      </c>
    </row>
    <row r="676" spans="1:72" x14ac:dyDescent="0.15">
      <c r="A676" t="s">
        <v>72</v>
      </c>
      <c r="B676" t="s">
        <v>11296</v>
      </c>
      <c r="C676" t="s">
        <v>74</v>
      </c>
      <c r="D676" t="s">
        <v>74</v>
      </c>
      <c r="E676" t="s">
        <v>74</v>
      </c>
      <c r="F676" t="s">
        <v>11297</v>
      </c>
      <c r="G676" t="s">
        <v>74</v>
      </c>
      <c r="H676" t="s">
        <v>74</v>
      </c>
      <c r="I676" t="s">
        <v>11298</v>
      </c>
      <c r="J676" t="s">
        <v>11299</v>
      </c>
      <c r="K676" t="s">
        <v>74</v>
      </c>
      <c r="L676" t="s">
        <v>74</v>
      </c>
      <c r="M676" t="s">
        <v>78</v>
      </c>
      <c r="N676" t="s">
        <v>79</v>
      </c>
      <c r="O676" t="s">
        <v>74</v>
      </c>
      <c r="P676" t="s">
        <v>74</v>
      </c>
      <c r="Q676" t="s">
        <v>74</v>
      </c>
      <c r="R676" t="s">
        <v>74</v>
      </c>
      <c r="S676" t="s">
        <v>74</v>
      </c>
      <c r="T676" t="s">
        <v>11300</v>
      </c>
      <c r="U676" t="s">
        <v>11301</v>
      </c>
      <c r="V676" t="s">
        <v>11302</v>
      </c>
      <c r="W676" t="s">
        <v>11303</v>
      </c>
      <c r="X676" t="s">
        <v>11304</v>
      </c>
      <c r="Y676" t="s">
        <v>11305</v>
      </c>
      <c r="Z676" t="s">
        <v>11306</v>
      </c>
      <c r="AA676" t="s">
        <v>11307</v>
      </c>
      <c r="AB676" t="s">
        <v>11308</v>
      </c>
      <c r="AC676" t="s">
        <v>74</v>
      </c>
      <c r="AD676" t="s">
        <v>74</v>
      </c>
      <c r="AE676" t="s">
        <v>74</v>
      </c>
      <c r="AF676" t="s">
        <v>74</v>
      </c>
      <c r="AG676">
        <v>43</v>
      </c>
      <c r="AH676">
        <v>57</v>
      </c>
      <c r="AI676">
        <v>61</v>
      </c>
      <c r="AJ676">
        <v>0</v>
      </c>
      <c r="AK676">
        <v>25</v>
      </c>
      <c r="AL676" t="s">
        <v>265</v>
      </c>
      <c r="AM676" t="s">
        <v>266</v>
      </c>
      <c r="AN676" t="s">
        <v>267</v>
      </c>
      <c r="AO676" t="s">
        <v>11309</v>
      </c>
      <c r="AP676" t="s">
        <v>11310</v>
      </c>
      <c r="AQ676" t="s">
        <v>74</v>
      </c>
      <c r="AR676" t="s">
        <v>11311</v>
      </c>
      <c r="AS676" t="s">
        <v>11312</v>
      </c>
      <c r="AT676" t="s">
        <v>11313</v>
      </c>
      <c r="AU676">
        <v>2007</v>
      </c>
      <c r="AV676">
        <v>603</v>
      </c>
      <c r="AW676">
        <v>2</v>
      </c>
      <c r="AX676" t="s">
        <v>74</v>
      </c>
      <c r="AY676" t="s">
        <v>74</v>
      </c>
      <c r="AZ676" t="s">
        <v>74</v>
      </c>
      <c r="BA676" t="s">
        <v>74</v>
      </c>
      <c r="BB676">
        <v>190</v>
      </c>
      <c r="BC676">
        <v>198</v>
      </c>
      <c r="BD676" t="s">
        <v>74</v>
      </c>
      <c r="BE676" t="s">
        <v>11314</v>
      </c>
      <c r="BF676" t="str">
        <f>HYPERLINK("http://dx.doi.org/10.1016/j.aca.2007.09.050","http://dx.doi.org/10.1016/j.aca.2007.09.050")</f>
        <v>http://dx.doi.org/10.1016/j.aca.2007.09.050</v>
      </c>
      <c r="BG676" t="s">
        <v>74</v>
      </c>
      <c r="BH676" t="s">
        <v>74</v>
      </c>
      <c r="BI676">
        <v>9</v>
      </c>
      <c r="BJ676" t="s">
        <v>1473</v>
      </c>
      <c r="BK676" t="s">
        <v>97</v>
      </c>
      <c r="BL676" t="s">
        <v>469</v>
      </c>
      <c r="BM676" t="s">
        <v>11315</v>
      </c>
      <c r="BN676">
        <v>17963839</v>
      </c>
      <c r="BO676" t="s">
        <v>74</v>
      </c>
      <c r="BP676" t="s">
        <v>74</v>
      </c>
      <c r="BQ676" t="s">
        <v>74</v>
      </c>
      <c r="BR676" t="s">
        <v>100</v>
      </c>
      <c r="BS676" t="s">
        <v>11316</v>
      </c>
      <c r="BT676" t="str">
        <f>HYPERLINK("https%3A%2F%2Fwww.webofscience.com%2Fwos%2Fwoscc%2Ffull-record%2FWOS:000251047000009","View Full Record in Web of Science")</f>
        <v>View Full Record in Web of Science</v>
      </c>
    </row>
    <row r="677" spans="1:72" x14ac:dyDescent="0.15">
      <c r="A677" t="s">
        <v>72</v>
      </c>
      <c r="B677" t="s">
        <v>11317</v>
      </c>
      <c r="C677" t="s">
        <v>74</v>
      </c>
      <c r="D677" t="s">
        <v>74</v>
      </c>
      <c r="E677" t="s">
        <v>74</v>
      </c>
      <c r="F677" t="s">
        <v>11318</v>
      </c>
      <c r="G677" t="s">
        <v>74</v>
      </c>
      <c r="H677" t="s">
        <v>74</v>
      </c>
      <c r="I677" t="s">
        <v>11319</v>
      </c>
      <c r="J677" t="s">
        <v>11320</v>
      </c>
      <c r="K677" t="s">
        <v>74</v>
      </c>
      <c r="L677" t="s">
        <v>74</v>
      </c>
      <c r="M677" t="s">
        <v>78</v>
      </c>
      <c r="N677" t="s">
        <v>79</v>
      </c>
      <c r="O677" t="s">
        <v>74</v>
      </c>
      <c r="P677" t="s">
        <v>74</v>
      </c>
      <c r="Q677" t="s">
        <v>74</v>
      </c>
      <c r="R677" t="s">
        <v>74</v>
      </c>
      <c r="S677" t="s">
        <v>74</v>
      </c>
      <c r="T677" t="s">
        <v>74</v>
      </c>
      <c r="U677" t="s">
        <v>11321</v>
      </c>
      <c r="V677" t="s">
        <v>11322</v>
      </c>
      <c r="W677" t="s">
        <v>11323</v>
      </c>
      <c r="X677" t="s">
        <v>11324</v>
      </c>
      <c r="Y677" t="s">
        <v>11325</v>
      </c>
      <c r="Z677" t="s">
        <v>11326</v>
      </c>
      <c r="AA677" t="s">
        <v>11327</v>
      </c>
      <c r="AB677" t="s">
        <v>11328</v>
      </c>
      <c r="AC677" t="s">
        <v>11329</v>
      </c>
      <c r="AD677" t="s">
        <v>11330</v>
      </c>
      <c r="AE677" t="s">
        <v>74</v>
      </c>
      <c r="AF677" t="s">
        <v>74</v>
      </c>
      <c r="AG677">
        <v>67</v>
      </c>
      <c r="AH677">
        <v>15</v>
      </c>
      <c r="AI677">
        <v>17</v>
      </c>
      <c r="AJ677">
        <v>0</v>
      </c>
      <c r="AK677">
        <v>5</v>
      </c>
      <c r="AL677" t="s">
        <v>220</v>
      </c>
      <c r="AM677" t="s">
        <v>118</v>
      </c>
      <c r="AN677" t="s">
        <v>221</v>
      </c>
      <c r="AO677" t="s">
        <v>11331</v>
      </c>
      <c r="AP677" t="s">
        <v>74</v>
      </c>
      <c r="AQ677" t="s">
        <v>74</v>
      </c>
      <c r="AR677" t="s">
        <v>11332</v>
      </c>
      <c r="AS677" t="s">
        <v>11333</v>
      </c>
      <c r="AT677" t="s">
        <v>11313</v>
      </c>
      <c r="AU677">
        <v>2007</v>
      </c>
      <c r="AV677">
        <v>7</v>
      </c>
      <c r="AW677" t="s">
        <v>74</v>
      </c>
      <c r="AX677" t="s">
        <v>74</v>
      </c>
      <c r="AY677" t="s">
        <v>74</v>
      </c>
      <c r="AZ677" t="s">
        <v>74</v>
      </c>
      <c r="BA677" t="s">
        <v>74</v>
      </c>
      <c r="BB677" t="s">
        <v>74</v>
      </c>
      <c r="BC677" t="s">
        <v>74</v>
      </c>
      <c r="BD677">
        <v>221</v>
      </c>
      <c r="BE677" t="s">
        <v>11334</v>
      </c>
      <c r="BF677" t="str">
        <f>HYPERLINK("http://dx.doi.org/10.1186/1471-2148-7-221","http://dx.doi.org/10.1186/1471-2148-7-221")</f>
        <v>http://dx.doi.org/10.1186/1471-2148-7-221</v>
      </c>
      <c r="BG677" t="s">
        <v>74</v>
      </c>
      <c r="BH677" t="s">
        <v>74</v>
      </c>
      <c r="BI677">
        <v>16</v>
      </c>
      <c r="BJ677" t="s">
        <v>11335</v>
      </c>
      <c r="BK677" t="s">
        <v>97</v>
      </c>
      <c r="BL677" t="s">
        <v>11335</v>
      </c>
      <c r="BM677" t="s">
        <v>11336</v>
      </c>
      <c r="BN677">
        <v>17997850</v>
      </c>
      <c r="BO677" t="s">
        <v>228</v>
      </c>
      <c r="BP677" t="s">
        <v>74</v>
      </c>
      <c r="BQ677" t="s">
        <v>74</v>
      </c>
      <c r="BR677" t="s">
        <v>100</v>
      </c>
      <c r="BS677" t="s">
        <v>11337</v>
      </c>
      <c r="BT677" t="str">
        <f>HYPERLINK("https%3A%2F%2Fwww.webofscience.com%2Fwos%2Fwoscc%2Ffull-record%2FWOS:000252784400002","View Full Record in Web of Science")</f>
        <v>View Full Record in Web of Science</v>
      </c>
    </row>
    <row r="678" spans="1:72" x14ac:dyDescent="0.15">
      <c r="A678" t="s">
        <v>72</v>
      </c>
      <c r="B678" t="s">
        <v>11338</v>
      </c>
      <c r="C678" t="s">
        <v>74</v>
      </c>
      <c r="D678" t="s">
        <v>74</v>
      </c>
      <c r="E678" t="s">
        <v>74</v>
      </c>
      <c r="F678" t="s">
        <v>11339</v>
      </c>
      <c r="G678" t="s">
        <v>74</v>
      </c>
      <c r="H678" t="s">
        <v>74</v>
      </c>
      <c r="I678" t="s">
        <v>11340</v>
      </c>
      <c r="J678" t="s">
        <v>11320</v>
      </c>
      <c r="K678" t="s">
        <v>74</v>
      </c>
      <c r="L678" t="s">
        <v>74</v>
      </c>
      <c r="M678" t="s">
        <v>78</v>
      </c>
      <c r="N678" t="s">
        <v>79</v>
      </c>
      <c r="O678" t="s">
        <v>74</v>
      </c>
      <c r="P678" t="s">
        <v>74</v>
      </c>
      <c r="Q678" t="s">
        <v>74</v>
      </c>
      <c r="R678" t="s">
        <v>74</v>
      </c>
      <c r="S678" t="s">
        <v>74</v>
      </c>
      <c r="T678" t="s">
        <v>74</v>
      </c>
      <c r="U678" t="s">
        <v>11341</v>
      </c>
      <c r="V678" t="s">
        <v>11342</v>
      </c>
      <c r="W678" t="s">
        <v>11343</v>
      </c>
      <c r="X678" t="s">
        <v>11344</v>
      </c>
      <c r="Y678" t="s">
        <v>11345</v>
      </c>
      <c r="Z678" t="s">
        <v>11346</v>
      </c>
      <c r="AA678" t="s">
        <v>11347</v>
      </c>
      <c r="AB678" t="s">
        <v>11348</v>
      </c>
      <c r="AC678" t="s">
        <v>11349</v>
      </c>
      <c r="AD678" t="s">
        <v>11350</v>
      </c>
      <c r="AE678" t="s">
        <v>74</v>
      </c>
      <c r="AF678" t="s">
        <v>74</v>
      </c>
      <c r="AG678">
        <v>97</v>
      </c>
      <c r="AH678">
        <v>59</v>
      </c>
      <c r="AI678">
        <v>61</v>
      </c>
      <c r="AJ678">
        <v>0</v>
      </c>
      <c r="AK678">
        <v>11</v>
      </c>
      <c r="AL678" t="s">
        <v>220</v>
      </c>
      <c r="AM678" t="s">
        <v>118</v>
      </c>
      <c r="AN678" t="s">
        <v>221</v>
      </c>
      <c r="AO678" t="s">
        <v>11331</v>
      </c>
      <c r="AP678" t="s">
        <v>74</v>
      </c>
      <c r="AQ678" t="s">
        <v>74</v>
      </c>
      <c r="AR678" t="s">
        <v>11332</v>
      </c>
      <c r="AS678" t="s">
        <v>11333</v>
      </c>
      <c r="AT678" t="s">
        <v>11313</v>
      </c>
      <c r="AU678">
        <v>2007</v>
      </c>
      <c r="AV678">
        <v>7</v>
      </c>
      <c r="AW678" t="s">
        <v>74</v>
      </c>
      <c r="AX678" t="s">
        <v>74</v>
      </c>
      <c r="AY678" t="s">
        <v>74</v>
      </c>
      <c r="AZ678" t="s">
        <v>74</v>
      </c>
      <c r="BA678" t="s">
        <v>74</v>
      </c>
      <c r="BB678" t="s">
        <v>74</v>
      </c>
      <c r="BC678" t="s">
        <v>74</v>
      </c>
      <c r="BD678">
        <v>220</v>
      </c>
      <c r="BE678" t="s">
        <v>11351</v>
      </c>
      <c r="BF678" t="str">
        <f>HYPERLINK("http://dx.doi.org/10.1186/1471-2148-7-220","http://dx.doi.org/10.1186/1471-2148-7-220")</f>
        <v>http://dx.doi.org/10.1186/1471-2148-7-220</v>
      </c>
      <c r="BG678" t="s">
        <v>74</v>
      </c>
      <c r="BH678" t="s">
        <v>74</v>
      </c>
      <c r="BI678">
        <v>17</v>
      </c>
      <c r="BJ678" t="s">
        <v>11335</v>
      </c>
      <c r="BK678" t="s">
        <v>97</v>
      </c>
      <c r="BL678" t="s">
        <v>11335</v>
      </c>
      <c r="BM678" t="s">
        <v>11336</v>
      </c>
      <c r="BN678">
        <v>17997847</v>
      </c>
      <c r="BO678" t="s">
        <v>228</v>
      </c>
      <c r="BP678" t="s">
        <v>74</v>
      </c>
      <c r="BQ678" t="s">
        <v>74</v>
      </c>
      <c r="BR678" t="s">
        <v>100</v>
      </c>
      <c r="BS678" t="s">
        <v>11352</v>
      </c>
      <c r="BT678" t="str">
        <f>HYPERLINK("https%3A%2F%2Fwww.webofscience.com%2Fwos%2Fwoscc%2Ffull-record%2FWOS:000252784400001","View Full Record in Web of Science")</f>
        <v>View Full Record in Web of Science</v>
      </c>
    </row>
    <row r="679" spans="1:72" x14ac:dyDescent="0.15">
      <c r="A679" t="s">
        <v>72</v>
      </c>
      <c r="B679" t="s">
        <v>11353</v>
      </c>
      <c r="C679" t="s">
        <v>74</v>
      </c>
      <c r="D679" t="s">
        <v>74</v>
      </c>
      <c r="E679" t="s">
        <v>74</v>
      </c>
      <c r="F679" t="s">
        <v>11354</v>
      </c>
      <c r="G679" t="s">
        <v>74</v>
      </c>
      <c r="H679" t="s">
        <v>74</v>
      </c>
      <c r="I679" t="s">
        <v>11355</v>
      </c>
      <c r="J679" t="s">
        <v>11356</v>
      </c>
      <c r="K679" t="s">
        <v>74</v>
      </c>
      <c r="L679" t="s">
        <v>74</v>
      </c>
      <c r="M679" t="s">
        <v>78</v>
      </c>
      <c r="N679" t="s">
        <v>79</v>
      </c>
      <c r="O679" t="s">
        <v>74</v>
      </c>
      <c r="P679" t="s">
        <v>74</v>
      </c>
      <c r="Q679" t="s">
        <v>74</v>
      </c>
      <c r="R679" t="s">
        <v>74</v>
      </c>
      <c r="S679" t="s">
        <v>74</v>
      </c>
      <c r="T679" t="s">
        <v>74</v>
      </c>
      <c r="U679" t="s">
        <v>11357</v>
      </c>
      <c r="V679" t="s">
        <v>11358</v>
      </c>
      <c r="W679" t="s">
        <v>11359</v>
      </c>
      <c r="X679" t="s">
        <v>11360</v>
      </c>
      <c r="Y679" t="s">
        <v>11361</v>
      </c>
      <c r="Z679" t="s">
        <v>11362</v>
      </c>
      <c r="AA679" t="s">
        <v>11363</v>
      </c>
      <c r="AB679" t="s">
        <v>11364</v>
      </c>
      <c r="AC679" t="s">
        <v>74</v>
      </c>
      <c r="AD679" t="s">
        <v>74</v>
      </c>
      <c r="AE679" t="s">
        <v>74</v>
      </c>
      <c r="AF679" t="s">
        <v>74</v>
      </c>
      <c r="AG679">
        <v>28</v>
      </c>
      <c r="AH679">
        <v>2</v>
      </c>
      <c r="AI679">
        <v>2</v>
      </c>
      <c r="AJ679">
        <v>0</v>
      </c>
      <c r="AK679">
        <v>3</v>
      </c>
      <c r="AL679" t="s">
        <v>834</v>
      </c>
      <c r="AM679" t="s">
        <v>835</v>
      </c>
      <c r="AN679" t="s">
        <v>11365</v>
      </c>
      <c r="AO679" t="s">
        <v>11366</v>
      </c>
      <c r="AP679" t="s">
        <v>11367</v>
      </c>
      <c r="AQ679" t="s">
        <v>74</v>
      </c>
      <c r="AR679" t="s">
        <v>11368</v>
      </c>
      <c r="AS679" t="s">
        <v>11369</v>
      </c>
      <c r="AT679" t="s">
        <v>11370</v>
      </c>
      <c r="AU679">
        <v>2007</v>
      </c>
      <c r="AV679">
        <v>669</v>
      </c>
      <c r="AW679">
        <v>2</v>
      </c>
      <c r="AX679">
        <v>1</v>
      </c>
      <c r="AY679" t="s">
        <v>74</v>
      </c>
      <c r="AZ679" t="s">
        <v>74</v>
      </c>
      <c r="BA679" t="s">
        <v>74</v>
      </c>
      <c r="BB679">
        <v>1003</v>
      </c>
      <c r="BC679">
        <v>1010</v>
      </c>
      <c r="BD679" t="s">
        <v>74</v>
      </c>
      <c r="BE679" t="s">
        <v>11371</v>
      </c>
      <c r="BF679" t="str">
        <f>HYPERLINK("http://dx.doi.org/10.1086/521589","http://dx.doi.org/10.1086/521589")</f>
        <v>http://dx.doi.org/10.1086/521589</v>
      </c>
      <c r="BG679" t="s">
        <v>74</v>
      </c>
      <c r="BH679" t="s">
        <v>74</v>
      </c>
      <c r="BI679">
        <v>8</v>
      </c>
      <c r="BJ679" t="s">
        <v>351</v>
      </c>
      <c r="BK679" t="s">
        <v>97</v>
      </c>
      <c r="BL679" t="s">
        <v>351</v>
      </c>
      <c r="BM679" t="s">
        <v>11372</v>
      </c>
      <c r="BN679" t="s">
        <v>74</v>
      </c>
      <c r="BO679" t="s">
        <v>610</v>
      </c>
      <c r="BP679" t="s">
        <v>74</v>
      </c>
      <c r="BQ679" t="s">
        <v>74</v>
      </c>
      <c r="BR679" t="s">
        <v>100</v>
      </c>
      <c r="BS679" t="s">
        <v>11373</v>
      </c>
      <c r="BT679" t="str">
        <f>HYPERLINK("https%3A%2F%2Fwww.webofscience.com%2Fwos%2Fwoscc%2Ffull-record%2FWOS:000250760500027","View Full Record in Web of Science")</f>
        <v>View Full Record in Web of Science</v>
      </c>
    </row>
    <row r="680" spans="1:72" x14ac:dyDescent="0.15">
      <c r="A680" t="s">
        <v>72</v>
      </c>
      <c r="B680" t="s">
        <v>11374</v>
      </c>
      <c r="C680" t="s">
        <v>74</v>
      </c>
      <c r="D680" t="s">
        <v>74</v>
      </c>
      <c r="E680" t="s">
        <v>74</v>
      </c>
      <c r="F680" t="s">
        <v>11375</v>
      </c>
      <c r="G680" t="s">
        <v>74</v>
      </c>
      <c r="H680" t="s">
        <v>74</v>
      </c>
      <c r="I680" t="s">
        <v>11376</v>
      </c>
      <c r="J680" t="s">
        <v>233</v>
      </c>
      <c r="K680" t="s">
        <v>74</v>
      </c>
      <c r="L680" t="s">
        <v>74</v>
      </c>
      <c r="M680" t="s">
        <v>78</v>
      </c>
      <c r="N680" t="s">
        <v>79</v>
      </c>
      <c r="O680" t="s">
        <v>74</v>
      </c>
      <c r="P680" t="s">
        <v>74</v>
      </c>
      <c r="Q680" t="s">
        <v>74</v>
      </c>
      <c r="R680" t="s">
        <v>74</v>
      </c>
      <c r="S680" t="s">
        <v>74</v>
      </c>
      <c r="T680" t="s">
        <v>74</v>
      </c>
      <c r="U680" t="s">
        <v>11377</v>
      </c>
      <c r="V680" t="s">
        <v>11378</v>
      </c>
      <c r="W680" t="s">
        <v>11379</v>
      </c>
      <c r="X680" t="s">
        <v>11380</v>
      </c>
      <c r="Y680" t="s">
        <v>11381</v>
      </c>
      <c r="Z680" t="s">
        <v>11382</v>
      </c>
      <c r="AA680" t="s">
        <v>74</v>
      </c>
      <c r="AB680" t="s">
        <v>74</v>
      </c>
      <c r="AC680" t="s">
        <v>74</v>
      </c>
      <c r="AD680" t="s">
        <v>74</v>
      </c>
      <c r="AE680" t="s">
        <v>74</v>
      </c>
      <c r="AF680" t="s">
        <v>74</v>
      </c>
      <c r="AG680">
        <v>22</v>
      </c>
      <c r="AH680">
        <v>43</v>
      </c>
      <c r="AI680">
        <v>52</v>
      </c>
      <c r="AJ680">
        <v>0</v>
      </c>
      <c r="AK680">
        <v>14</v>
      </c>
      <c r="AL680" t="s">
        <v>193</v>
      </c>
      <c r="AM680" t="s">
        <v>194</v>
      </c>
      <c r="AN680" t="s">
        <v>195</v>
      </c>
      <c r="AO680" t="s">
        <v>243</v>
      </c>
      <c r="AP680" t="s">
        <v>74</v>
      </c>
      <c r="AQ680" t="s">
        <v>74</v>
      </c>
      <c r="AR680" t="s">
        <v>244</v>
      </c>
      <c r="AS680" t="s">
        <v>245</v>
      </c>
      <c r="AT680" t="s">
        <v>11370</v>
      </c>
      <c r="AU680">
        <v>2007</v>
      </c>
      <c r="AV680">
        <v>34</v>
      </c>
      <c r="AW680">
        <v>21</v>
      </c>
      <c r="AX680" t="s">
        <v>74</v>
      </c>
      <c r="AY680" t="s">
        <v>74</v>
      </c>
      <c r="AZ680" t="s">
        <v>74</v>
      </c>
      <c r="BA680" t="s">
        <v>74</v>
      </c>
      <c r="BB680" t="s">
        <v>74</v>
      </c>
      <c r="BC680" t="s">
        <v>74</v>
      </c>
      <c r="BD680" t="s">
        <v>11383</v>
      </c>
      <c r="BE680" t="s">
        <v>11384</v>
      </c>
      <c r="BF680" t="str">
        <f>HYPERLINK("http://dx.doi.org/10.1029/2007GL031412","http://dx.doi.org/10.1029/2007GL031412")</f>
        <v>http://dx.doi.org/10.1029/2007GL031412</v>
      </c>
      <c r="BG680" t="s">
        <v>74</v>
      </c>
      <c r="BH680" t="s">
        <v>74</v>
      </c>
      <c r="BI680">
        <v>6</v>
      </c>
      <c r="BJ680" t="s">
        <v>96</v>
      </c>
      <c r="BK680" t="s">
        <v>97</v>
      </c>
      <c r="BL680" t="s">
        <v>98</v>
      </c>
      <c r="BM680" t="s">
        <v>11385</v>
      </c>
      <c r="BN680" t="s">
        <v>74</v>
      </c>
      <c r="BO680" t="s">
        <v>414</v>
      </c>
      <c r="BP680" t="s">
        <v>74</v>
      </c>
      <c r="BQ680" t="s">
        <v>74</v>
      </c>
      <c r="BR680" t="s">
        <v>100</v>
      </c>
      <c r="BS680" t="s">
        <v>11386</v>
      </c>
      <c r="BT680" t="str">
        <f>HYPERLINK("https%3A%2F%2Fwww.webofscience.com%2Fwos%2Fwoscc%2Ffull-record%2FWOS:000250850000004","View Full Record in Web of Science")</f>
        <v>View Full Record in Web of Science</v>
      </c>
    </row>
    <row r="681" spans="1:72" x14ac:dyDescent="0.15">
      <c r="A681" t="s">
        <v>72</v>
      </c>
      <c r="B681" t="s">
        <v>11387</v>
      </c>
      <c r="C681" t="s">
        <v>74</v>
      </c>
      <c r="D681" t="s">
        <v>74</v>
      </c>
      <c r="E681" t="s">
        <v>74</v>
      </c>
      <c r="F681" t="s">
        <v>11388</v>
      </c>
      <c r="G681" t="s">
        <v>74</v>
      </c>
      <c r="H681" t="s">
        <v>74</v>
      </c>
      <c r="I681" t="s">
        <v>11389</v>
      </c>
      <c r="J681" t="s">
        <v>233</v>
      </c>
      <c r="K681" t="s">
        <v>74</v>
      </c>
      <c r="L681" t="s">
        <v>74</v>
      </c>
      <c r="M681" t="s">
        <v>78</v>
      </c>
      <c r="N681" t="s">
        <v>79</v>
      </c>
      <c r="O681" t="s">
        <v>74</v>
      </c>
      <c r="P681" t="s">
        <v>74</v>
      </c>
      <c r="Q681" t="s">
        <v>74</v>
      </c>
      <c r="R681" t="s">
        <v>74</v>
      </c>
      <c r="S681" t="s">
        <v>74</v>
      </c>
      <c r="T681" t="s">
        <v>74</v>
      </c>
      <c r="U681" t="s">
        <v>11390</v>
      </c>
      <c r="V681" t="s">
        <v>11391</v>
      </c>
      <c r="W681" t="s">
        <v>11392</v>
      </c>
      <c r="X681" t="s">
        <v>11393</v>
      </c>
      <c r="Y681" t="s">
        <v>11394</v>
      </c>
      <c r="Z681" t="s">
        <v>11395</v>
      </c>
      <c r="AA681" t="s">
        <v>11396</v>
      </c>
      <c r="AB681" t="s">
        <v>11397</v>
      </c>
      <c r="AC681" t="s">
        <v>74</v>
      </c>
      <c r="AD681" t="s">
        <v>74</v>
      </c>
      <c r="AE681" t="s">
        <v>74</v>
      </c>
      <c r="AF681" t="s">
        <v>74</v>
      </c>
      <c r="AG681">
        <v>20</v>
      </c>
      <c r="AH681">
        <v>17</v>
      </c>
      <c r="AI681">
        <v>17</v>
      </c>
      <c r="AJ681">
        <v>0</v>
      </c>
      <c r="AK681">
        <v>3</v>
      </c>
      <c r="AL681" t="s">
        <v>193</v>
      </c>
      <c r="AM681" t="s">
        <v>194</v>
      </c>
      <c r="AN681" t="s">
        <v>195</v>
      </c>
      <c r="AO681" t="s">
        <v>243</v>
      </c>
      <c r="AP681" t="s">
        <v>74</v>
      </c>
      <c r="AQ681" t="s">
        <v>74</v>
      </c>
      <c r="AR681" t="s">
        <v>244</v>
      </c>
      <c r="AS681" t="s">
        <v>245</v>
      </c>
      <c r="AT681" t="s">
        <v>11370</v>
      </c>
      <c r="AU681">
        <v>2007</v>
      </c>
      <c r="AV681">
        <v>34</v>
      </c>
      <c r="AW681">
        <v>21</v>
      </c>
      <c r="AX681" t="s">
        <v>74</v>
      </c>
      <c r="AY681" t="s">
        <v>74</v>
      </c>
      <c r="AZ681" t="s">
        <v>74</v>
      </c>
      <c r="BA681" t="s">
        <v>74</v>
      </c>
      <c r="BB681" t="s">
        <v>74</v>
      </c>
      <c r="BC681" t="s">
        <v>74</v>
      </c>
      <c r="BD681" t="s">
        <v>11398</v>
      </c>
      <c r="BE681" t="s">
        <v>11399</v>
      </c>
      <c r="BF681" t="str">
        <f>HYPERLINK("http://dx.doi.org/10.1029/2007GL031546","http://dx.doi.org/10.1029/2007GL031546")</f>
        <v>http://dx.doi.org/10.1029/2007GL031546</v>
      </c>
      <c r="BG681" t="s">
        <v>74</v>
      </c>
      <c r="BH681" t="s">
        <v>74</v>
      </c>
      <c r="BI681">
        <v>5</v>
      </c>
      <c r="BJ681" t="s">
        <v>96</v>
      </c>
      <c r="BK681" t="s">
        <v>97</v>
      </c>
      <c r="BL681" t="s">
        <v>98</v>
      </c>
      <c r="BM681" t="s">
        <v>11385</v>
      </c>
      <c r="BN681" t="s">
        <v>74</v>
      </c>
      <c r="BO681" t="s">
        <v>3777</v>
      </c>
      <c r="BP681" t="s">
        <v>74</v>
      </c>
      <c r="BQ681" t="s">
        <v>74</v>
      </c>
      <c r="BR681" t="s">
        <v>100</v>
      </c>
      <c r="BS681" t="s">
        <v>11400</v>
      </c>
      <c r="BT681" t="str">
        <f>HYPERLINK("https%3A%2F%2Fwww.webofscience.com%2Fwos%2Fwoscc%2Ffull-record%2FWOS:000250850000007","View Full Record in Web of Science")</f>
        <v>View Full Record in Web of Science</v>
      </c>
    </row>
    <row r="682" spans="1:72" x14ac:dyDescent="0.15">
      <c r="A682" t="s">
        <v>72</v>
      </c>
      <c r="B682" t="s">
        <v>11401</v>
      </c>
      <c r="C682" t="s">
        <v>74</v>
      </c>
      <c r="D682" t="s">
        <v>74</v>
      </c>
      <c r="E682" t="s">
        <v>74</v>
      </c>
      <c r="F682" t="s">
        <v>11402</v>
      </c>
      <c r="G682" t="s">
        <v>74</v>
      </c>
      <c r="H682" t="s">
        <v>74</v>
      </c>
      <c r="I682" t="s">
        <v>11403</v>
      </c>
      <c r="J682" t="s">
        <v>233</v>
      </c>
      <c r="K682" t="s">
        <v>74</v>
      </c>
      <c r="L682" t="s">
        <v>74</v>
      </c>
      <c r="M682" t="s">
        <v>78</v>
      </c>
      <c r="N682" t="s">
        <v>79</v>
      </c>
      <c r="O682" t="s">
        <v>74</v>
      </c>
      <c r="P682" t="s">
        <v>74</v>
      </c>
      <c r="Q682" t="s">
        <v>74</v>
      </c>
      <c r="R682" t="s">
        <v>74</v>
      </c>
      <c r="S682" t="s">
        <v>74</v>
      </c>
      <c r="T682" t="s">
        <v>74</v>
      </c>
      <c r="U682" t="s">
        <v>11404</v>
      </c>
      <c r="V682" t="s">
        <v>11405</v>
      </c>
      <c r="W682" t="s">
        <v>11406</v>
      </c>
      <c r="X682" t="s">
        <v>11407</v>
      </c>
      <c r="Y682" t="s">
        <v>11408</v>
      </c>
      <c r="Z682" t="s">
        <v>11409</v>
      </c>
      <c r="AA682" t="s">
        <v>11410</v>
      </c>
      <c r="AB682" t="s">
        <v>11411</v>
      </c>
      <c r="AC682" t="s">
        <v>5625</v>
      </c>
      <c r="AD682" t="s">
        <v>242</v>
      </c>
      <c r="AE682" t="s">
        <v>74</v>
      </c>
      <c r="AF682" t="s">
        <v>74</v>
      </c>
      <c r="AG682">
        <v>29</v>
      </c>
      <c r="AH682">
        <v>33</v>
      </c>
      <c r="AI682">
        <v>38</v>
      </c>
      <c r="AJ682">
        <v>0</v>
      </c>
      <c r="AK682">
        <v>6</v>
      </c>
      <c r="AL682" t="s">
        <v>193</v>
      </c>
      <c r="AM682" t="s">
        <v>194</v>
      </c>
      <c r="AN682" t="s">
        <v>195</v>
      </c>
      <c r="AO682" t="s">
        <v>243</v>
      </c>
      <c r="AP682" t="s">
        <v>326</v>
      </c>
      <c r="AQ682" t="s">
        <v>74</v>
      </c>
      <c r="AR682" t="s">
        <v>244</v>
      </c>
      <c r="AS682" t="s">
        <v>245</v>
      </c>
      <c r="AT682" t="s">
        <v>11412</v>
      </c>
      <c r="AU682">
        <v>2007</v>
      </c>
      <c r="AV682">
        <v>34</v>
      </c>
      <c r="AW682">
        <v>21</v>
      </c>
      <c r="AX682" t="s">
        <v>74</v>
      </c>
      <c r="AY682" t="s">
        <v>74</v>
      </c>
      <c r="AZ682" t="s">
        <v>74</v>
      </c>
      <c r="BA682" t="s">
        <v>74</v>
      </c>
      <c r="BB682" t="s">
        <v>74</v>
      </c>
      <c r="BC682" t="s">
        <v>74</v>
      </c>
      <c r="BD682" t="s">
        <v>11413</v>
      </c>
      <c r="BE682" t="s">
        <v>11414</v>
      </c>
      <c r="BF682" t="str">
        <f>HYPERLINK("http://dx.doi.org/10.1029/2007GL031483","http://dx.doi.org/10.1029/2007GL031483")</f>
        <v>http://dx.doi.org/10.1029/2007GL031483</v>
      </c>
      <c r="BG682" t="s">
        <v>74</v>
      </c>
      <c r="BH682" t="s">
        <v>74</v>
      </c>
      <c r="BI682">
        <v>5</v>
      </c>
      <c r="BJ682" t="s">
        <v>96</v>
      </c>
      <c r="BK682" t="s">
        <v>97</v>
      </c>
      <c r="BL682" t="s">
        <v>98</v>
      </c>
      <c r="BM682" t="s">
        <v>11415</v>
      </c>
      <c r="BN682" t="s">
        <v>74</v>
      </c>
      <c r="BO682" t="s">
        <v>414</v>
      </c>
      <c r="BP682" t="s">
        <v>74</v>
      </c>
      <c r="BQ682" t="s">
        <v>74</v>
      </c>
      <c r="BR682" t="s">
        <v>100</v>
      </c>
      <c r="BS682" t="s">
        <v>11416</v>
      </c>
      <c r="BT682" t="str">
        <f>HYPERLINK("https%3A%2F%2Fwww.webofscience.com%2Fwos%2Fwoscc%2Ffull-record%2FWOS:000250849800004","View Full Record in Web of Science")</f>
        <v>View Full Record in Web of Science</v>
      </c>
    </row>
    <row r="683" spans="1:72" x14ac:dyDescent="0.15">
      <c r="A683" t="s">
        <v>72</v>
      </c>
      <c r="B683" t="s">
        <v>11417</v>
      </c>
      <c r="C683" t="s">
        <v>74</v>
      </c>
      <c r="D683" t="s">
        <v>74</v>
      </c>
      <c r="E683" t="s">
        <v>74</v>
      </c>
      <c r="F683" t="s">
        <v>11418</v>
      </c>
      <c r="G683" t="s">
        <v>74</v>
      </c>
      <c r="H683" t="s">
        <v>74</v>
      </c>
      <c r="I683" t="s">
        <v>11419</v>
      </c>
      <c r="J683" t="s">
        <v>419</v>
      </c>
      <c r="K683" t="s">
        <v>74</v>
      </c>
      <c r="L683" t="s">
        <v>74</v>
      </c>
      <c r="M683" t="s">
        <v>78</v>
      </c>
      <c r="N683" t="s">
        <v>79</v>
      </c>
      <c r="O683" t="s">
        <v>74</v>
      </c>
      <c r="P683" t="s">
        <v>74</v>
      </c>
      <c r="Q683" t="s">
        <v>74</v>
      </c>
      <c r="R683" t="s">
        <v>74</v>
      </c>
      <c r="S683" t="s">
        <v>74</v>
      </c>
      <c r="T683" t="s">
        <v>74</v>
      </c>
      <c r="U683" t="s">
        <v>11420</v>
      </c>
      <c r="V683" t="s">
        <v>11421</v>
      </c>
      <c r="W683" t="s">
        <v>11422</v>
      </c>
      <c r="X683" t="s">
        <v>11423</v>
      </c>
      <c r="Y683" t="s">
        <v>11424</v>
      </c>
      <c r="Z683" t="s">
        <v>11425</v>
      </c>
      <c r="AA683" t="s">
        <v>11426</v>
      </c>
      <c r="AB683" t="s">
        <v>11427</v>
      </c>
      <c r="AC683" t="s">
        <v>74</v>
      </c>
      <c r="AD683" t="s">
        <v>74</v>
      </c>
      <c r="AE683" t="s">
        <v>74</v>
      </c>
      <c r="AF683" t="s">
        <v>74</v>
      </c>
      <c r="AG683">
        <v>63</v>
      </c>
      <c r="AH683">
        <v>113</v>
      </c>
      <c r="AI683">
        <v>124</v>
      </c>
      <c r="AJ683">
        <v>1</v>
      </c>
      <c r="AK683">
        <v>25</v>
      </c>
      <c r="AL683" t="s">
        <v>193</v>
      </c>
      <c r="AM683" t="s">
        <v>194</v>
      </c>
      <c r="AN683" t="s">
        <v>195</v>
      </c>
      <c r="AO683" t="s">
        <v>426</v>
      </c>
      <c r="AP683" t="s">
        <v>427</v>
      </c>
      <c r="AQ683" t="s">
        <v>74</v>
      </c>
      <c r="AR683" t="s">
        <v>419</v>
      </c>
      <c r="AS683" t="s">
        <v>428</v>
      </c>
      <c r="AT683" t="s">
        <v>11412</v>
      </c>
      <c r="AU683">
        <v>2007</v>
      </c>
      <c r="AV683">
        <v>22</v>
      </c>
      <c r="AW683">
        <v>4</v>
      </c>
      <c r="AX683" t="s">
        <v>74</v>
      </c>
      <c r="AY683" t="s">
        <v>74</v>
      </c>
      <c r="AZ683" t="s">
        <v>74</v>
      </c>
      <c r="BA683" t="s">
        <v>74</v>
      </c>
      <c r="BB683" t="s">
        <v>74</v>
      </c>
      <c r="BC683" t="s">
        <v>74</v>
      </c>
      <c r="BD683" t="s">
        <v>11428</v>
      </c>
      <c r="BE683" t="s">
        <v>11429</v>
      </c>
      <c r="BF683" t="str">
        <f>HYPERLINK("http://dx.doi.org/10.1029/2006PA001391","http://dx.doi.org/10.1029/2006PA001391")</f>
        <v>http://dx.doi.org/10.1029/2006PA001391</v>
      </c>
      <c r="BG683" t="s">
        <v>74</v>
      </c>
      <c r="BH683" t="s">
        <v>74</v>
      </c>
      <c r="BI683">
        <v>10</v>
      </c>
      <c r="BJ683" t="s">
        <v>431</v>
      </c>
      <c r="BK683" t="s">
        <v>97</v>
      </c>
      <c r="BL683" t="s">
        <v>432</v>
      </c>
      <c r="BM683" t="s">
        <v>11430</v>
      </c>
      <c r="BN683" t="s">
        <v>74</v>
      </c>
      <c r="BO683" t="s">
        <v>74</v>
      </c>
      <c r="BP683" t="s">
        <v>74</v>
      </c>
      <c r="BQ683" t="s">
        <v>74</v>
      </c>
      <c r="BR683" t="s">
        <v>100</v>
      </c>
      <c r="BS683" t="s">
        <v>11431</v>
      </c>
      <c r="BT683" t="str">
        <f>HYPERLINK("https%3A%2F%2Fwww.webofscience.com%2Fwos%2Fwoscc%2Ffull-record%2FWOS:000250856400001","View Full Record in Web of Science")</f>
        <v>View Full Record in Web of Science</v>
      </c>
    </row>
    <row r="684" spans="1:72" x14ac:dyDescent="0.15">
      <c r="A684" t="s">
        <v>72</v>
      </c>
      <c r="B684" t="s">
        <v>11432</v>
      </c>
      <c r="C684" t="s">
        <v>74</v>
      </c>
      <c r="D684" t="s">
        <v>74</v>
      </c>
      <c r="E684" t="s">
        <v>74</v>
      </c>
      <c r="F684" t="s">
        <v>11433</v>
      </c>
      <c r="G684" t="s">
        <v>74</v>
      </c>
      <c r="H684" t="s">
        <v>74</v>
      </c>
      <c r="I684" t="s">
        <v>11434</v>
      </c>
      <c r="J684" t="s">
        <v>184</v>
      </c>
      <c r="K684" t="s">
        <v>74</v>
      </c>
      <c r="L684" t="s">
        <v>74</v>
      </c>
      <c r="M684" t="s">
        <v>78</v>
      </c>
      <c r="N684" t="s">
        <v>79</v>
      </c>
      <c r="O684" t="s">
        <v>74</v>
      </c>
      <c r="P684" t="s">
        <v>74</v>
      </c>
      <c r="Q684" t="s">
        <v>74</v>
      </c>
      <c r="R684" t="s">
        <v>74</v>
      </c>
      <c r="S684" t="s">
        <v>74</v>
      </c>
      <c r="T684" t="s">
        <v>74</v>
      </c>
      <c r="U684" t="s">
        <v>11435</v>
      </c>
      <c r="V684" t="s">
        <v>11436</v>
      </c>
      <c r="W684" t="s">
        <v>11437</v>
      </c>
      <c r="X684" t="s">
        <v>11438</v>
      </c>
      <c r="Y684" t="s">
        <v>11439</v>
      </c>
      <c r="Z684" t="s">
        <v>74</v>
      </c>
      <c r="AA684" t="s">
        <v>74</v>
      </c>
      <c r="AB684" t="s">
        <v>74</v>
      </c>
      <c r="AC684" t="s">
        <v>74</v>
      </c>
      <c r="AD684" t="s">
        <v>74</v>
      </c>
      <c r="AE684" t="s">
        <v>74</v>
      </c>
      <c r="AF684" t="s">
        <v>74</v>
      </c>
      <c r="AG684">
        <v>27</v>
      </c>
      <c r="AH684">
        <v>98</v>
      </c>
      <c r="AI684">
        <v>108</v>
      </c>
      <c r="AJ684">
        <v>5</v>
      </c>
      <c r="AK684">
        <v>16</v>
      </c>
      <c r="AL684" t="s">
        <v>193</v>
      </c>
      <c r="AM684" t="s">
        <v>194</v>
      </c>
      <c r="AN684" t="s">
        <v>195</v>
      </c>
      <c r="AO684" t="s">
        <v>196</v>
      </c>
      <c r="AP684" t="s">
        <v>197</v>
      </c>
      <c r="AQ684" t="s">
        <v>74</v>
      </c>
      <c r="AR684" t="s">
        <v>198</v>
      </c>
      <c r="AS684" t="s">
        <v>199</v>
      </c>
      <c r="AT684" t="s">
        <v>11440</v>
      </c>
      <c r="AU684">
        <v>2007</v>
      </c>
      <c r="AV684">
        <v>112</v>
      </c>
      <c r="AW684" t="s">
        <v>11273</v>
      </c>
      <c r="AX684" t="s">
        <v>74</v>
      </c>
      <c r="AY684" t="s">
        <v>74</v>
      </c>
      <c r="AZ684" t="s">
        <v>74</v>
      </c>
      <c r="BA684" t="s">
        <v>74</v>
      </c>
      <c r="BB684" t="s">
        <v>74</v>
      </c>
      <c r="BC684" t="s">
        <v>74</v>
      </c>
      <c r="BD684" t="s">
        <v>11441</v>
      </c>
      <c r="BE684" t="s">
        <v>11442</v>
      </c>
      <c r="BF684" t="str">
        <f>HYPERLINK("http://dx.doi.org/10.1029/2006JD008368","http://dx.doi.org/10.1029/2006JD008368")</f>
        <v>http://dx.doi.org/10.1029/2006JD008368</v>
      </c>
      <c r="BG684" t="s">
        <v>74</v>
      </c>
      <c r="BH684" t="s">
        <v>74</v>
      </c>
      <c r="BI684">
        <v>9</v>
      </c>
      <c r="BJ684" t="s">
        <v>204</v>
      </c>
      <c r="BK684" t="s">
        <v>97</v>
      </c>
      <c r="BL684" t="s">
        <v>204</v>
      </c>
      <c r="BM684" t="s">
        <v>11443</v>
      </c>
      <c r="BN684" t="s">
        <v>74</v>
      </c>
      <c r="BO684" t="s">
        <v>179</v>
      </c>
      <c r="BP684" t="s">
        <v>74</v>
      </c>
      <c r="BQ684" t="s">
        <v>74</v>
      </c>
      <c r="BR684" t="s">
        <v>100</v>
      </c>
      <c r="BS684" t="s">
        <v>11444</v>
      </c>
      <c r="BT684" t="str">
        <f>HYPERLINK("https%3A%2F%2Fwww.webofscience.com%2Fwos%2Fwoscc%2Ffull-record%2FWOS:000250850900002","View Full Record in Web of Science")</f>
        <v>View Full Record in Web of Science</v>
      </c>
    </row>
    <row r="685" spans="1:72" x14ac:dyDescent="0.15">
      <c r="A685" t="s">
        <v>72</v>
      </c>
      <c r="B685" t="s">
        <v>11445</v>
      </c>
      <c r="C685" t="s">
        <v>74</v>
      </c>
      <c r="D685" t="s">
        <v>74</v>
      </c>
      <c r="E685" t="s">
        <v>74</v>
      </c>
      <c r="F685" t="s">
        <v>11446</v>
      </c>
      <c r="G685" t="s">
        <v>74</v>
      </c>
      <c r="H685" t="s">
        <v>74</v>
      </c>
      <c r="I685" t="s">
        <v>11447</v>
      </c>
      <c r="J685" t="s">
        <v>233</v>
      </c>
      <c r="K685" t="s">
        <v>74</v>
      </c>
      <c r="L685" t="s">
        <v>74</v>
      </c>
      <c r="M685" t="s">
        <v>78</v>
      </c>
      <c r="N685" t="s">
        <v>79</v>
      </c>
      <c r="O685" t="s">
        <v>74</v>
      </c>
      <c r="P685" t="s">
        <v>74</v>
      </c>
      <c r="Q685" t="s">
        <v>74</v>
      </c>
      <c r="R685" t="s">
        <v>74</v>
      </c>
      <c r="S685" t="s">
        <v>74</v>
      </c>
      <c r="T685" t="s">
        <v>74</v>
      </c>
      <c r="U685" t="s">
        <v>11448</v>
      </c>
      <c r="V685" t="s">
        <v>11449</v>
      </c>
      <c r="W685" t="s">
        <v>11450</v>
      </c>
      <c r="X685" t="s">
        <v>11451</v>
      </c>
      <c r="Y685" t="s">
        <v>11452</v>
      </c>
      <c r="Z685" t="s">
        <v>11453</v>
      </c>
      <c r="AA685" t="s">
        <v>74</v>
      </c>
      <c r="AB685" t="s">
        <v>11454</v>
      </c>
      <c r="AC685" t="s">
        <v>74</v>
      </c>
      <c r="AD685" t="s">
        <v>74</v>
      </c>
      <c r="AE685" t="s">
        <v>74</v>
      </c>
      <c r="AF685" t="s">
        <v>74</v>
      </c>
      <c r="AG685">
        <v>28</v>
      </c>
      <c r="AH685">
        <v>58</v>
      </c>
      <c r="AI685">
        <v>68</v>
      </c>
      <c r="AJ685">
        <v>0</v>
      </c>
      <c r="AK685">
        <v>15</v>
      </c>
      <c r="AL685" t="s">
        <v>193</v>
      </c>
      <c r="AM685" t="s">
        <v>194</v>
      </c>
      <c r="AN685" t="s">
        <v>195</v>
      </c>
      <c r="AO685" t="s">
        <v>243</v>
      </c>
      <c r="AP685" t="s">
        <v>74</v>
      </c>
      <c r="AQ685" t="s">
        <v>74</v>
      </c>
      <c r="AR685" t="s">
        <v>244</v>
      </c>
      <c r="AS685" t="s">
        <v>245</v>
      </c>
      <c r="AT685" t="s">
        <v>11455</v>
      </c>
      <c r="AU685">
        <v>2007</v>
      </c>
      <c r="AV685">
        <v>34</v>
      </c>
      <c r="AW685">
        <v>21</v>
      </c>
      <c r="AX685" t="s">
        <v>74</v>
      </c>
      <c r="AY685" t="s">
        <v>74</v>
      </c>
      <c r="AZ685" t="s">
        <v>74</v>
      </c>
      <c r="BA685" t="s">
        <v>74</v>
      </c>
      <c r="BB685" t="s">
        <v>74</v>
      </c>
      <c r="BC685" t="s">
        <v>74</v>
      </c>
      <c r="BD685" t="s">
        <v>11456</v>
      </c>
      <c r="BE685" t="s">
        <v>11457</v>
      </c>
      <c r="BF685" t="str">
        <f>HYPERLINK("http://dx.doi.org/10.1029/2007GL031809","http://dx.doi.org/10.1029/2007GL031809")</f>
        <v>http://dx.doi.org/10.1029/2007GL031809</v>
      </c>
      <c r="BG685" t="s">
        <v>74</v>
      </c>
      <c r="BH685" t="s">
        <v>74</v>
      </c>
      <c r="BI685">
        <v>6</v>
      </c>
      <c r="BJ685" t="s">
        <v>96</v>
      </c>
      <c r="BK685" t="s">
        <v>97</v>
      </c>
      <c r="BL685" t="s">
        <v>98</v>
      </c>
      <c r="BM685" t="s">
        <v>11458</v>
      </c>
      <c r="BN685" t="s">
        <v>74</v>
      </c>
      <c r="BO685" t="s">
        <v>179</v>
      </c>
      <c r="BP685" t="s">
        <v>74</v>
      </c>
      <c r="BQ685" t="s">
        <v>74</v>
      </c>
      <c r="BR685" t="s">
        <v>100</v>
      </c>
      <c r="BS685" t="s">
        <v>11459</v>
      </c>
      <c r="BT685" t="str">
        <f>HYPERLINK("https%3A%2F%2Fwww.webofscience.com%2Fwos%2Fwoscc%2Ffull-record%2FWOS:000250703800007","View Full Record in Web of Science")</f>
        <v>View Full Record in Web of Science</v>
      </c>
    </row>
    <row r="686" spans="1:72" x14ac:dyDescent="0.15">
      <c r="A686" t="s">
        <v>72</v>
      </c>
      <c r="B686" t="s">
        <v>11460</v>
      </c>
      <c r="C686" t="s">
        <v>74</v>
      </c>
      <c r="D686" t="s">
        <v>74</v>
      </c>
      <c r="E686" t="s">
        <v>74</v>
      </c>
      <c r="F686" t="s">
        <v>11461</v>
      </c>
      <c r="G686" t="s">
        <v>74</v>
      </c>
      <c r="H686" t="s">
        <v>74</v>
      </c>
      <c r="I686" t="s">
        <v>11462</v>
      </c>
      <c r="J686" t="s">
        <v>233</v>
      </c>
      <c r="K686" t="s">
        <v>74</v>
      </c>
      <c r="L686" t="s">
        <v>74</v>
      </c>
      <c r="M686" t="s">
        <v>78</v>
      </c>
      <c r="N686" t="s">
        <v>79</v>
      </c>
      <c r="O686" t="s">
        <v>74</v>
      </c>
      <c r="P686" t="s">
        <v>74</v>
      </c>
      <c r="Q686" t="s">
        <v>74</v>
      </c>
      <c r="R686" t="s">
        <v>74</v>
      </c>
      <c r="S686" t="s">
        <v>74</v>
      </c>
      <c r="T686" t="s">
        <v>74</v>
      </c>
      <c r="U686" t="s">
        <v>11463</v>
      </c>
      <c r="V686" t="s">
        <v>11464</v>
      </c>
      <c r="W686" t="s">
        <v>11465</v>
      </c>
      <c r="X686" t="s">
        <v>440</v>
      </c>
      <c r="Y686" t="s">
        <v>11466</v>
      </c>
      <c r="Z686" t="s">
        <v>2242</v>
      </c>
      <c r="AA686" t="s">
        <v>74</v>
      </c>
      <c r="AB686" t="s">
        <v>2243</v>
      </c>
      <c r="AC686" t="s">
        <v>394</v>
      </c>
      <c r="AD686" t="s">
        <v>242</v>
      </c>
      <c r="AE686" t="s">
        <v>74</v>
      </c>
      <c r="AF686" t="s">
        <v>74</v>
      </c>
      <c r="AG686">
        <v>24</v>
      </c>
      <c r="AH686">
        <v>28</v>
      </c>
      <c r="AI686">
        <v>29</v>
      </c>
      <c r="AJ686">
        <v>0</v>
      </c>
      <c r="AK686">
        <v>5</v>
      </c>
      <c r="AL686" t="s">
        <v>193</v>
      </c>
      <c r="AM686" t="s">
        <v>194</v>
      </c>
      <c r="AN686" t="s">
        <v>195</v>
      </c>
      <c r="AO686" t="s">
        <v>243</v>
      </c>
      <c r="AP686" t="s">
        <v>326</v>
      </c>
      <c r="AQ686" t="s">
        <v>74</v>
      </c>
      <c r="AR686" t="s">
        <v>244</v>
      </c>
      <c r="AS686" t="s">
        <v>245</v>
      </c>
      <c r="AT686" t="s">
        <v>11455</v>
      </c>
      <c r="AU686">
        <v>2007</v>
      </c>
      <c r="AV686">
        <v>34</v>
      </c>
      <c r="AW686">
        <v>21</v>
      </c>
      <c r="AX686" t="s">
        <v>74</v>
      </c>
      <c r="AY686" t="s">
        <v>74</v>
      </c>
      <c r="AZ686" t="s">
        <v>74</v>
      </c>
      <c r="BA686" t="s">
        <v>74</v>
      </c>
      <c r="BB686" t="s">
        <v>74</v>
      </c>
      <c r="BC686" t="s">
        <v>74</v>
      </c>
      <c r="BD686" t="s">
        <v>11467</v>
      </c>
      <c r="BE686" t="s">
        <v>11468</v>
      </c>
      <c r="BF686" t="str">
        <f>HYPERLINK("http://dx.doi.org/10.1029/2007GL031282","http://dx.doi.org/10.1029/2007GL031282")</f>
        <v>http://dx.doi.org/10.1029/2007GL031282</v>
      </c>
      <c r="BG686" t="s">
        <v>74</v>
      </c>
      <c r="BH686" t="s">
        <v>74</v>
      </c>
      <c r="BI686">
        <v>4</v>
      </c>
      <c r="BJ686" t="s">
        <v>96</v>
      </c>
      <c r="BK686" t="s">
        <v>97</v>
      </c>
      <c r="BL686" t="s">
        <v>98</v>
      </c>
      <c r="BM686" t="s">
        <v>11458</v>
      </c>
      <c r="BN686" t="s">
        <v>74</v>
      </c>
      <c r="BO686" t="s">
        <v>179</v>
      </c>
      <c r="BP686" t="s">
        <v>74</v>
      </c>
      <c r="BQ686" t="s">
        <v>74</v>
      </c>
      <c r="BR686" t="s">
        <v>100</v>
      </c>
      <c r="BS686" t="s">
        <v>11469</v>
      </c>
      <c r="BT686" t="str">
        <f>HYPERLINK("https%3A%2F%2Fwww.webofscience.com%2Fwos%2Fwoscc%2Ffull-record%2FWOS:000250703800004","View Full Record in Web of Science")</f>
        <v>View Full Record in Web of Science</v>
      </c>
    </row>
    <row r="687" spans="1:72" x14ac:dyDescent="0.15">
      <c r="A687" t="s">
        <v>72</v>
      </c>
      <c r="B687" t="s">
        <v>11470</v>
      </c>
      <c r="C687" t="s">
        <v>74</v>
      </c>
      <c r="D687" t="s">
        <v>74</v>
      </c>
      <c r="E687" t="s">
        <v>74</v>
      </c>
      <c r="F687" t="s">
        <v>11471</v>
      </c>
      <c r="G687" t="s">
        <v>74</v>
      </c>
      <c r="H687" t="s">
        <v>74</v>
      </c>
      <c r="I687" t="s">
        <v>11472</v>
      </c>
      <c r="J687" t="s">
        <v>333</v>
      </c>
      <c r="K687" t="s">
        <v>74</v>
      </c>
      <c r="L687" t="s">
        <v>74</v>
      </c>
      <c r="M687" t="s">
        <v>78</v>
      </c>
      <c r="N687" t="s">
        <v>79</v>
      </c>
      <c r="O687" t="s">
        <v>74</v>
      </c>
      <c r="P687" t="s">
        <v>74</v>
      </c>
      <c r="Q687" t="s">
        <v>74</v>
      </c>
      <c r="R687" t="s">
        <v>74</v>
      </c>
      <c r="S687" t="s">
        <v>74</v>
      </c>
      <c r="T687" t="s">
        <v>74</v>
      </c>
      <c r="U687" t="s">
        <v>11473</v>
      </c>
      <c r="V687" t="s">
        <v>11474</v>
      </c>
      <c r="W687" t="s">
        <v>11475</v>
      </c>
      <c r="X687" t="s">
        <v>11476</v>
      </c>
      <c r="Y687" t="s">
        <v>11477</v>
      </c>
      <c r="Z687" t="s">
        <v>11478</v>
      </c>
      <c r="AA687" t="s">
        <v>74</v>
      </c>
      <c r="AB687" t="s">
        <v>74</v>
      </c>
      <c r="AC687" t="s">
        <v>74</v>
      </c>
      <c r="AD687" t="s">
        <v>74</v>
      </c>
      <c r="AE687" t="s">
        <v>74</v>
      </c>
      <c r="AF687" t="s">
        <v>74</v>
      </c>
      <c r="AG687">
        <v>24</v>
      </c>
      <c r="AH687">
        <v>23</v>
      </c>
      <c r="AI687">
        <v>23</v>
      </c>
      <c r="AJ687">
        <v>0</v>
      </c>
      <c r="AK687">
        <v>3</v>
      </c>
      <c r="AL687" t="s">
        <v>193</v>
      </c>
      <c r="AM687" t="s">
        <v>194</v>
      </c>
      <c r="AN687" t="s">
        <v>195</v>
      </c>
      <c r="AO687" t="s">
        <v>344</v>
      </c>
      <c r="AP687" t="s">
        <v>345</v>
      </c>
      <c r="AQ687" t="s">
        <v>74</v>
      </c>
      <c r="AR687" t="s">
        <v>346</v>
      </c>
      <c r="AS687" t="s">
        <v>347</v>
      </c>
      <c r="AT687" t="s">
        <v>11455</v>
      </c>
      <c r="AU687">
        <v>2007</v>
      </c>
      <c r="AV687">
        <v>112</v>
      </c>
      <c r="AW687" t="s">
        <v>11109</v>
      </c>
      <c r="AX687" t="s">
        <v>74</v>
      </c>
      <c r="AY687" t="s">
        <v>74</v>
      </c>
      <c r="AZ687" t="s">
        <v>74</v>
      </c>
      <c r="BA687" t="s">
        <v>74</v>
      </c>
      <c r="BB687" t="s">
        <v>74</v>
      </c>
      <c r="BC687" t="s">
        <v>74</v>
      </c>
      <c r="BD687" t="s">
        <v>11479</v>
      </c>
      <c r="BE687" t="s">
        <v>11480</v>
      </c>
      <c r="BF687" t="str">
        <f>HYPERLINK("http://dx.doi.org/10.1029/2007JA012369","http://dx.doi.org/10.1029/2007JA012369")</f>
        <v>http://dx.doi.org/10.1029/2007JA012369</v>
      </c>
      <c r="BG687" t="s">
        <v>74</v>
      </c>
      <c r="BH687" t="s">
        <v>74</v>
      </c>
      <c r="BI687">
        <v>10</v>
      </c>
      <c r="BJ687" t="s">
        <v>351</v>
      </c>
      <c r="BK687" t="s">
        <v>97</v>
      </c>
      <c r="BL687" t="s">
        <v>351</v>
      </c>
      <c r="BM687" t="s">
        <v>11481</v>
      </c>
      <c r="BN687" t="s">
        <v>74</v>
      </c>
      <c r="BO687" t="s">
        <v>74</v>
      </c>
      <c r="BP687" t="s">
        <v>74</v>
      </c>
      <c r="BQ687" t="s">
        <v>74</v>
      </c>
      <c r="BR687" t="s">
        <v>100</v>
      </c>
      <c r="BS687" t="s">
        <v>11482</v>
      </c>
      <c r="BT687" t="str">
        <f>HYPERLINK("https%3A%2F%2Fwww.webofscience.com%2Fwos%2Fwoscc%2Ffull-record%2FWOS:000250710800001","View Full Record in Web of Science")</f>
        <v>View Full Record in Web of Science</v>
      </c>
    </row>
    <row r="688" spans="1:72" x14ac:dyDescent="0.15">
      <c r="A688" t="s">
        <v>72</v>
      </c>
      <c r="B688" t="s">
        <v>11483</v>
      </c>
      <c r="C688" t="s">
        <v>74</v>
      </c>
      <c r="D688" t="s">
        <v>74</v>
      </c>
      <c r="E688" t="s">
        <v>74</v>
      </c>
      <c r="F688" t="s">
        <v>11484</v>
      </c>
      <c r="G688" t="s">
        <v>74</v>
      </c>
      <c r="H688" t="s">
        <v>74</v>
      </c>
      <c r="I688" t="s">
        <v>11485</v>
      </c>
      <c r="J688" t="s">
        <v>11486</v>
      </c>
      <c r="K688" t="s">
        <v>74</v>
      </c>
      <c r="L688" t="s">
        <v>74</v>
      </c>
      <c r="M688" t="s">
        <v>78</v>
      </c>
      <c r="N688" t="s">
        <v>79</v>
      </c>
      <c r="O688" t="s">
        <v>74</v>
      </c>
      <c r="P688" t="s">
        <v>74</v>
      </c>
      <c r="Q688" t="s">
        <v>74</v>
      </c>
      <c r="R688" t="s">
        <v>74</v>
      </c>
      <c r="S688" t="s">
        <v>74</v>
      </c>
      <c r="T688" t="s">
        <v>11487</v>
      </c>
      <c r="U688" t="s">
        <v>74</v>
      </c>
      <c r="V688" t="s">
        <v>11488</v>
      </c>
      <c r="W688" t="s">
        <v>11489</v>
      </c>
      <c r="X688" t="s">
        <v>6601</v>
      </c>
      <c r="Y688" t="s">
        <v>11490</v>
      </c>
      <c r="Z688" t="s">
        <v>11491</v>
      </c>
      <c r="AA688" t="s">
        <v>74</v>
      </c>
      <c r="AB688" t="s">
        <v>74</v>
      </c>
      <c r="AC688" t="s">
        <v>74</v>
      </c>
      <c r="AD688" t="s">
        <v>74</v>
      </c>
      <c r="AE688" t="s">
        <v>74</v>
      </c>
      <c r="AF688" t="s">
        <v>74</v>
      </c>
      <c r="AG688">
        <v>21</v>
      </c>
      <c r="AH688">
        <v>5</v>
      </c>
      <c r="AI688">
        <v>6</v>
      </c>
      <c r="AJ688">
        <v>0</v>
      </c>
      <c r="AK688">
        <v>1</v>
      </c>
      <c r="AL688" t="s">
        <v>6777</v>
      </c>
      <c r="AM688" t="s">
        <v>6778</v>
      </c>
      <c r="AN688" t="s">
        <v>11492</v>
      </c>
      <c r="AO688" t="s">
        <v>11493</v>
      </c>
      <c r="AP688" t="s">
        <v>11494</v>
      </c>
      <c r="AQ688" t="s">
        <v>74</v>
      </c>
      <c r="AR688" t="s">
        <v>11486</v>
      </c>
      <c r="AS688" t="s">
        <v>11495</v>
      </c>
      <c r="AT688" t="s">
        <v>11496</v>
      </c>
      <c r="AU688">
        <v>2007</v>
      </c>
      <c r="AV688" t="s">
        <v>74</v>
      </c>
      <c r="AW688">
        <v>1628</v>
      </c>
      <c r="AX688" t="s">
        <v>74</v>
      </c>
      <c r="AY688" t="s">
        <v>74</v>
      </c>
      <c r="AZ688" t="s">
        <v>74</v>
      </c>
      <c r="BA688" t="s">
        <v>74</v>
      </c>
      <c r="BB688">
        <v>43</v>
      </c>
      <c r="BC688">
        <v>58</v>
      </c>
      <c r="BD688" t="s">
        <v>74</v>
      </c>
      <c r="BE688" t="s">
        <v>11497</v>
      </c>
      <c r="BF688" t="str">
        <f>HYPERLINK("http://dx.doi.org/10.11646/zootaxa.1628.1.3","http://dx.doi.org/10.11646/zootaxa.1628.1.3")</f>
        <v>http://dx.doi.org/10.11646/zootaxa.1628.1.3</v>
      </c>
      <c r="BG688" t="s">
        <v>74</v>
      </c>
      <c r="BH688" t="s">
        <v>74</v>
      </c>
      <c r="BI688">
        <v>16</v>
      </c>
      <c r="BJ688" t="s">
        <v>4825</v>
      </c>
      <c r="BK688" t="s">
        <v>97</v>
      </c>
      <c r="BL688" t="s">
        <v>4825</v>
      </c>
      <c r="BM688" t="s">
        <v>11498</v>
      </c>
      <c r="BN688" t="s">
        <v>74</v>
      </c>
      <c r="BO688" t="s">
        <v>74</v>
      </c>
      <c r="BP688" t="s">
        <v>74</v>
      </c>
      <c r="BQ688" t="s">
        <v>74</v>
      </c>
      <c r="BR688" t="s">
        <v>100</v>
      </c>
      <c r="BS688" t="s">
        <v>11499</v>
      </c>
      <c r="BT688" t="str">
        <f>HYPERLINK("https%3A%2F%2Fwww.webofscience.com%2Fwos%2Fwoscc%2Ffull-record%2FWOS:000250601900003","View Full Record in Web of Science")</f>
        <v>View Full Record in Web of Science</v>
      </c>
    </row>
    <row r="689" spans="1:72" x14ac:dyDescent="0.15">
      <c r="A689" t="s">
        <v>72</v>
      </c>
      <c r="B689" t="s">
        <v>1185</v>
      </c>
      <c r="C689" t="s">
        <v>74</v>
      </c>
      <c r="D689" t="s">
        <v>74</v>
      </c>
      <c r="E689" t="s">
        <v>74</v>
      </c>
      <c r="F689" t="s">
        <v>1186</v>
      </c>
      <c r="G689" t="s">
        <v>74</v>
      </c>
      <c r="H689" t="s">
        <v>74</v>
      </c>
      <c r="I689" t="s">
        <v>11500</v>
      </c>
      <c r="J689" t="s">
        <v>11501</v>
      </c>
      <c r="K689" t="s">
        <v>74</v>
      </c>
      <c r="L689" t="s">
        <v>74</v>
      </c>
      <c r="M689" t="s">
        <v>78</v>
      </c>
      <c r="N689" t="s">
        <v>79</v>
      </c>
      <c r="O689" t="s">
        <v>74</v>
      </c>
      <c r="P689" t="s">
        <v>74</v>
      </c>
      <c r="Q689" t="s">
        <v>74</v>
      </c>
      <c r="R689" t="s">
        <v>74</v>
      </c>
      <c r="S689" t="s">
        <v>74</v>
      </c>
      <c r="T689" t="s">
        <v>74</v>
      </c>
      <c r="U689" t="s">
        <v>11502</v>
      </c>
      <c r="V689" t="s">
        <v>11503</v>
      </c>
      <c r="W689" t="s">
        <v>11504</v>
      </c>
      <c r="X689" t="s">
        <v>1191</v>
      </c>
      <c r="Y689" t="s">
        <v>11505</v>
      </c>
      <c r="Z689" t="s">
        <v>11506</v>
      </c>
      <c r="AA689" t="s">
        <v>74</v>
      </c>
      <c r="AB689" t="s">
        <v>74</v>
      </c>
      <c r="AC689" t="s">
        <v>74</v>
      </c>
      <c r="AD689" t="s">
        <v>74</v>
      </c>
      <c r="AE689" t="s">
        <v>74</v>
      </c>
      <c r="AF689" t="s">
        <v>74</v>
      </c>
      <c r="AG689">
        <v>40</v>
      </c>
      <c r="AH689">
        <v>4</v>
      </c>
      <c r="AI689">
        <v>5</v>
      </c>
      <c r="AJ689">
        <v>2</v>
      </c>
      <c r="AK689">
        <v>7</v>
      </c>
      <c r="AL689" t="s">
        <v>1193</v>
      </c>
      <c r="AM689" t="s">
        <v>1194</v>
      </c>
      <c r="AN689" t="s">
        <v>1195</v>
      </c>
      <c r="AO689" t="s">
        <v>74</v>
      </c>
      <c r="AP689" t="s">
        <v>11507</v>
      </c>
      <c r="AQ689" t="s">
        <v>74</v>
      </c>
      <c r="AR689" t="s">
        <v>11508</v>
      </c>
      <c r="AS689" t="s">
        <v>11509</v>
      </c>
      <c r="AT689" t="s">
        <v>11510</v>
      </c>
      <c r="AU689">
        <v>2007</v>
      </c>
      <c r="AV689">
        <v>63</v>
      </c>
      <c r="AW689" t="s">
        <v>74</v>
      </c>
      <c r="AX689">
        <v>11</v>
      </c>
      <c r="AY689" t="s">
        <v>74</v>
      </c>
      <c r="AZ689" t="s">
        <v>74</v>
      </c>
      <c r="BA689" t="s">
        <v>74</v>
      </c>
      <c r="BB689">
        <v>983</v>
      </c>
      <c r="BC689">
        <v>986</v>
      </c>
      <c r="BD689" t="s">
        <v>74</v>
      </c>
      <c r="BE689" t="s">
        <v>11511</v>
      </c>
      <c r="BF689" t="str">
        <f>HYPERLINK("http://dx.doi.org/10.1107/S1744309107051524","http://dx.doi.org/10.1107/S1744309107051524")</f>
        <v>http://dx.doi.org/10.1107/S1744309107051524</v>
      </c>
      <c r="BG689" t="s">
        <v>74</v>
      </c>
      <c r="BH689" t="s">
        <v>74</v>
      </c>
      <c r="BI689">
        <v>4</v>
      </c>
      <c r="BJ689" t="s">
        <v>11512</v>
      </c>
      <c r="BK689" t="s">
        <v>97</v>
      </c>
      <c r="BL689" t="s">
        <v>11513</v>
      </c>
      <c r="BM689" t="s">
        <v>11514</v>
      </c>
      <c r="BN689">
        <v>18007057</v>
      </c>
      <c r="BO689" t="s">
        <v>3777</v>
      </c>
      <c r="BP689" t="s">
        <v>74</v>
      </c>
      <c r="BQ689" t="s">
        <v>74</v>
      </c>
      <c r="BR689" t="s">
        <v>100</v>
      </c>
      <c r="BS689" t="s">
        <v>11515</v>
      </c>
      <c r="BT689" t="str">
        <f>HYPERLINK("https%3A%2F%2Fwww.webofscience.com%2Fwos%2Fwoscc%2Ffull-record%2FWOS:000251799400021","View Full Record in Web of Science")</f>
        <v>View Full Record in Web of Science</v>
      </c>
    </row>
    <row r="690" spans="1:72" x14ac:dyDescent="0.15">
      <c r="A690" t="s">
        <v>72</v>
      </c>
      <c r="B690" t="s">
        <v>11516</v>
      </c>
      <c r="C690" t="s">
        <v>74</v>
      </c>
      <c r="D690" t="s">
        <v>74</v>
      </c>
      <c r="E690" t="s">
        <v>74</v>
      </c>
      <c r="F690" t="s">
        <v>11517</v>
      </c>
      <c r="G690" t="s">
        <v>74</v>
      </c>
      <c r="H690" t="s">
        <v>74</v>
      </c>
      <c r="I690" t="s">
        <v>11518</v>
      </c>
      <c r="J690" t="s">
        <v>11519</v>
      </c>
      <c r="K690" t="s">
        <v>74</v>
      </c>
      <c r="L690" t="s">
        <v>74</v>
      </c>
      <c r="M690" t="s">
        <v>78</v>
      </c>
      <c r="N690" t="s">
        <v>1602</v>
      </c>
      <c r="O690" t="s">
        <v>11520</v>
      </c>
      <c r="P690" t="s">
        <v>11521</v>
      </c>
      <c r="Q690" t="s">
        <v>11522</v>
      </c>
      <c r="R690" t="s">
        <v>74</v>
      </c>
      <c r="S690" t="s">
        <v>74</v>
      </c>
      <c r="T690" t="s">
        <v>11523</v>
      </c>
      <c r="U690" t="s">
        <v>11524</v>
      </c>
      <c r="V690" t="s">
        <v>11525</v>
      </c>
      <c r="W690" t="s">
        <v>11526</v>
      </c>
      <c r="X690" t="s">
        <v>11527</v>
      </c>
      <c r="Y690" t="s">
        <v>11528</v>
      </c>
      <c r="Z690" t="s">
        <v>11529</v>
      </c>
      <c r="AA690" t="s">
        <v>11530</v>
      </c>
      <c r="AB690" t="s">
        <v>74</v>
      </c>
      <c r="AC690" t="s">
        <v>74</v>
      </c>
      <c r="AD690" t="s">
        <v>74</v>
      </c>
      <c r="AE690" t="s">
        <v>74</v>
      </c>
      <c r="AF690" t="s">
        <v>74</v>
      </c>
      <c r="AG690">
        <v>95</v>
      </c>
      <c r="AH690">
        <v>4</v>
      </c>
      <c r="AI690">
        <v>7</v>
      </c>
      <c r="AJ690">
        <v>2</v>
      </c>
      <c r="AK690">
        <v>32</v>
      </c>
      <c r="AL690" t="s">
        <v>2958</v>
      </c>
      <c r="AM690" t="s">
        <v>2939</v>
      </c>
      <c r="AN690" t="s">
        <v>2940</v>
      </c>
      <c r="AO690" t="s">
        <v>11531</v>
      </c>
      <c r="AP690" t="s">
        <v>11532</v>
      </c>
      <c r="AQ690" t="s">
        <v>74</v>
      </c>
      <c r="AR690" t="s">
        <v>11533</v>
      </c>
      <c r="AS690" t="s">
        <v>11534</v>
      </c>
      <c r="AT690" t="s">
        <v>11510</v>
      </c>
      <c r="AU690">
        <v>2007</v>
      </c>
      <c r="AV690">
        <v>24</v>
      </c>
      <c r="AW690">
        <v>6</v>
      </c>
      <c r="AX690" t="s">
        <v>74</v>
      </c>
      <c r="AY690" t="s">
        <v>74</v>
      </c>
      <c r="AZ690" t="s">
        <v>74</v>
      </c>
      <c r="BA690" t="s">
        <v>74</v>
      </c>
      <c r="BB690">
        <v>1037</v>
      </c>
      <c r="BC690">
        <v>1048</v>
      </c>
      <c r="BD690" t="s">
        <v>74</v>
      </c>
      <c r="BE690" t="s">
        <v>11535</v>
      </c>
      <c r="BF690" t="str">
        <f>HYPERLINK("http://dx.doi.org/10.1007/s00376-007-1037-2","http://dx.doi.org/10.1007/s00376-007-1037-2")</f>
        <v>http://dx.doi.org/10.1007/s00376-007-1037-2</v>
      </c>
      <c r="BG690" t="s">
        <v>74</v>
      </c>
      <c r="BH690" t="s">
        <v>74</v>
      </c>
      <c r="BI690">
        <v>12</v>
      </c>
      <c r="BJ690" t="s">
        <v>204</v>
      </c>
      <c r="BK690" t="s">
        <v>1616</v>
      </c>
      <c r="BL690" t="s">
        <v>204</v>
      </c>
      <c r="BM690" t="s">
        <v>11536</v>
      </c>
      <c r="BN690" t="s">
        <v>74</v>
      </c>
      <c r="BO690" t="s">
        <v>74</v>
      </c>
      <c r="BP690" t="s">
        <v>74</v>
      </c>
      <c r="BQ690" t="s">
        <v>74</v>
      </c>
      <c r="BR690" t="s">
        <v>100</v>
      </c>
      <c r="BS690" t="s">
        <v>11537</v>
      </c>
      <c r="BT690" t="str">
        <f>HYPERLINK("https%3A%2F%2Fwww.webofscience.com%2Fwos%2Fwoscc%2Ffull-record%2FWOS:000251065000007","View Full Record in Web of Science")</f>
        <v>View Full Record in Web of Science</v>
      </c>
    </row>
    <row r="691" spans="1:72" x14ac:dyDescent="0.15">
      <c r="A691" t="s">
        <v>72</v>
      </c>
      <c r="B691" t="s">
        <v>11538</v>
      </c>
      <c r="C691" t="s">
        <v>74</v>
      </c>
      <c r="D691" t="s">
        <v>74</v>
      </c>
      <c r="E691" t="s">
        <v>74</v>
      </c>
      <c r="F691" t="s">
        <v>11539</v>
      </c>
      <c r="G691" t="s">
        <v>74</v>
      </c>
      <c r="H691" t="s">
        <v>74</v>
      </c>
      <c r="I691" t="s">
        <v>11540</v>
      </c>
      <c r="J691" t="s">
        <v>11541</v>
      </c>
      <c r="K691" t="s">
        <v>74</v>
      </c>
      <c r="L691" t="s">
        <v>74</v>
      </c>
      <c r="M691" t="s">
        <v>78</v>
      </c>
      <c r="N691" t="s">
        <v>79</v>
      </c>
      <c r="O691" t="s">
        <v>74</v>
      </c>
      <c r="P691" t="s">
        <v>74</v>
      </c>
      <c r="Q691" t="s">
        <v>74</v>
      </c>
      <c r="R691" t="s">
        <v>74</v>
      </c>
      <c r="S691" t="s">
        <v>74</v>
      </c>
      <c r="T691" t="s">
        <v>11542</v>
      </c>
      <c r="U691" t="s">
        <v>11543</v>
      </c>
      <c r="V691" t="s">
        <v>11544</v>
      </c>
      <c r="W691" t="s">
        <v>11545</v>
      </c>
      <c r="X691" t="s">
        <v>11546</v>
      </c>
      <c r="Y691" t="s">
        <v>11547</v>
      </c>
      <c r="Z691" t="s">
        <v>11548</v>
      </c>
      <c r="AA691" t="s">
        <v>74</v>
      </c>
      <c r="AB691" t="s">
        <v>11549</v>
      </c>
      <c r="AC691" t="s">
        <v>74</v>
      </c>
      <c r="AD691" t="s">
        <v>74</v>
      </c>
      <c r="AE691" t="s">
        <v>74</v>
      </c>
      <c r="AF691" t="s">
        <v>74</v>
      </c>
      <c r="AG691">
        <v>35</v>
      </c>
      <c r="AH691">
        <v>56</v>
      </c>
      <c r="AI691">
        <v>57</v>
      </c>
      <c r="AJ691">
        <v>1</v>
      </c>
      <c r="AK691">
        <v>24</v>
      </c>
      <c r="AL691" t="s">
        <v>1265</v>
      </c>
      <c r="AM691" t="s">
        <v>662</v>
      </c>
      <c r="AN691" t="s">
        <v>1266</v>
      </c>
      <c r="AO691" t="s">
        <v>11550</v>
      </c>
      <c r="AP691" t="s">
        <v>11551</v>
      </c>
      <c r="AQ691" t="s">
        <v>74</v>
      </c>
      <c r="AR691" t="s">
        <v>11552</v>
      </c>
      <c r="AS691" t="s">
        <v>11553</v>
      </c>
      <c r="AT691" t="s">
        <v>11510</v>
      </c>
      <c r="AU691">
        <v>2007</v>
      </c>
      <c r="AV691">
        <v>77</v>
      </c>
      <c r="AW691">
        <v>1</v>
      </c>
      <c r="AX691" t="s">
        <v>74</v>
      </c>
      <c r="AY691" t="s">
        <v>74</v>
      </c>
      <c r="AZ691" t="s">
        <v>74</v>
      </c>
      <c r="BA691" t="s">
        <v>74</v>
      </c>
      <c r="BB691">
        <v>77</v>
      </c>
      <c r="BC691">
        <v>89</v>
      </c>
      <c r="BD691" t="s">
        <v>74</v>
      </c>
      <c r="BE691" t="s">
        <v>11554</v>
      </c>
      <c r="BF691" t="str">
        <f>HYPERLINK("http://dx.doi.org/10.1007/s00253-007-1124-4","http://dx.doi.org/10.1007/s00253-007-1124-4")</f>
        <v>http://dx.doi.org/10.1007/s00253-007-1124-4</v>
      </c>
      <c r="BG691" t="s">
        <v>74</v>
      </c>
      <c r="BH691" t="s">
        <v>74</v>
      </c>
      <c r="BI691">
        <v>13</v>
      </c>
      <c r="BJ691" t="s">
        <v>2706</v>
      </c>
      <c r="BK691" t="s">
        <v>97</v>
      </c>
      <c r="BL691" t="s">
        <v>2706</v>
      </c>
      <c r="BM691" t="s">
        <v>11555</v>
      </c>
      <c r="BN691">
        <v>17786433</v>
      </c>
      <c r="BO691" t="s">
        <v>74</v>
      </c>
      <c r="BP691" t="s">
        <v>74</v>
      </c>
      <c r="BQ691" t="s">
        <v>74</v>
      </c>
      <c r="BR691" t="s">
        <v>100</v>
      </c>
      <c r="BS691" t="s">
        <v>11556</v>
      </c>
      <c r="BT691" t="str">
        <f>HYPERLINK("https%3A%2F%2Fwww.webofscience.com%2Fwos%2Fwoscc%2Ffull-record%2FWOS:000250115200009","View Full Record in Web of Science")</f>
        <v>View Full Record in Web of Science</v>
      </c>
    </row>
    <row r="692" spans="1:72" x14ac:dyDescent="0.15">
      <c r="A692" t="s">
        <v>72</v>
      </c>
      <c r="B692" t="s">
        <v>11557</v>
      </c>
      <c r="C692" t="s">
        <v>74</v>
      </c>
      <c r="D692" t="s">
        <v>74</v>
      </c>
      <c r="E692" t="s">
        <v>74</v>
      </c>
      <c r="F692" t="s">
        <v>11558</v>
      </c>
      <c r="G692" t="s">
        <v>74</v>
      </c>
      <c r="H692" t="s">
        <v>74</v>
      </c>
      <c r="I692" t="s">
        <v>11559</v>
      </c>
      <c r="J692" t="s">
        <v>11560</v>
      </c>
      <c r="K692" t="s">
        <v>74</v>
      </c>
      <c r="L692" t="s">
        <v>74</v>
      </c>
      <c r="M692" t="s">
        <v>78</v>
      </c>
      <c r="N692" t="s">
        <v>438</v>
      </c>
      <c r="O692" t="s">
        <v>74</v>
      </c>
      <c r="P692" t="s">
        <v>74</v>
      </c>
      <c r="Q692" t="s">
        <v>74</v>
      </c>
      <c r="R692" t="s">
        <v>74</v>
      </c>
      <c r="S692" t="s">
        <v>74</v>
      </c>
      <c r="T692" t="s">
        <v>74</v>
      </c>
      <c r="U692" t="s">
        <v>11561</v>
      </c>
      <c r="V692" t="s">
        <v>74</v>
      </c>
      <c r="W692" t="s">
        <v>11562</v>
      </c>
      <c r="X692" t="s">
        <v>11563</v>
      </c>
      <c r="Y692" t="s">
        <v>11564</v>
      </c>
      <c r="Z692" t="s">
        <v>11565</v>
      </c>
      <c r="AA692" t="s">
        <v>74</v>
      </c>
      <c r="AB692" t="s">
        <v>11566</v>
      </c>
      <c r="AC692" t="s">
        <v>74</v>
      </c>
      <c r="AD692" t="s">
        <v>74</v>
      </c>
      <c r="AE692" t="s">
        <v>74</v>
      </c>
      <c r="AF692" t="s">
        <v>74</v>
      </c>
      <c r="AG692">
        <v>25</v>
      </c>
      <c r="AH692">
        <v>1</v>
      </c>
      <c r="AI692">
        <v>2</v>
      </c>
      <c r="AJ692">
        <v>0</v>
      </c>
      <c r="AK692">
        <v>5</v>
      </c>
      <c r="AL692" t="s">
        <v>11567</v>
      </c>
      <c r="AM692" t="s">
        <v>7930</v>
      </c>
      <c r="AN692" t="s">
        <v>11568</v>
      </c>
      <c r="AO692" t="s">
        <v>11569</v>
      </c>
      <c r="AP692" t="s">
        <v>11570</v>
      </c>
      <c r="AQ692" t="s">
        <v>74</v>
      </c>
      <c r="AR692" t="s">
        <v>11571</v>
      </c>
      <c r="AS692" t="s">
        <v>11572</v>
      </c>
      <c r="AT692" t="s">
        <v>11510</v>
      </c>
      <c r="AU692">
        <v>2007</v>
      </c>
      <c r="AV692">
        <v>39</v>
      </c>
      <c r="AW692">
        <v>4</v>
      </c>
      <c r="AX692" t="s">
        <v>74</v>
      </c>
      <c r="AY692" t="s">
        <v>74</v>
      </c>
      <c r="AZ692" t="s">
        <v>74</v>
      </c>
      <c r="BA692" t="s">
        <v>74</v>
      </c>
      <c r="BB692">
        <v>517</v>
      </c>
      <c r="BC692">
        <v>520</v>
      </c>
      <c r="BD692" t="s">
        <v>74</v>
      </c>
      <c r="BE692" t="s">
        <v>11573</v>
      </c>
      <c r="BF692" t="str">
        <f>HYPERLINK("http://dx.doi.org/10.1657/1523-0430(07-500)[MUNROE]2.0.CO;2","http://dx.doi.org/10.1657/1523-0430(07-500)[MUNROE]2.0.CO;2")</f>
        <v>http://dx.doi.org/10.1657/1523-0430(07-500)[MUNROE]2.0.CO;2</v>
      </c>
      <c r="BG692" t="s">
        <v>74</v>
      </c>
      <c r="BH692" t="s">
        <v>74</v>
      </c>
      <c r="BI692">
        <v>4</v>
      </c>
      <c r="BJ692" t="s">
        <v>11574</v>
      </c>
      <c r="BK692" t="s">
        <v>97</v>
      </c>
      <c r="BL692" t="s">
        <v>4449</v>
      </c>
      <c r="BM692" t="s">
        <v>11575</v>
      </c>
      <c r="BN692" t="s">
        <v>74</v>
      </c>
      <c r="BO692" t="s">
        <v>1050</v>
      </c>
      <c r="BP692" t="s">
        <v>74</v>
      </c>
      <c r="BQ692" t="s">
        <v>74</v>
      </c>
      <c r="BR692" t="s">
        <v>100</v>
      </c>
      <c r="BS692" t="s">
        <v>11576</v>
      </c>
      <c r="BT692" t="str">
        <f>HYPERLINK("https%3A%2F%2Fwww.webofscience.com%2Fwos%2Fwoscc%2Ffull-record%2FWOS:000250962500001","View Full Record in Web of Science")</f>
        <v>View Full Record in Web of Science</v>
      </c>
    </row>
    <row r="693" spans="1:72" x14ac:dyDescent="0.15">
      <c r="A693" t="s">
        <v>72</v>
      </c>
      <c r="B693" t="s">
        <v>11577</v>
      </c>
      <c r="C693" t="s">
        <v>74</v>
      </c>
      <c r="D693" t="s">
        <v>74</v>
      </c>
      <c r="E693" t="s">
        <v>74</v>
      </c>
      <c r="F693" t="s">
        <v>11578</v>
      </c>
      <c r="G693" t="s">
        <v>74</v>
      </c>
      <c r="H693" t="s">
        <v>74</v>
      </c>
      <c r="I693" t="s">
        <v>11579</v>
      </c>
      <c r="J693" t="s">
        <v>11560</v>
      </c>
      <c r="K693" t="s">
        <v>74</v>
      </c>
      <c r="L693" t="s">
        <v>74</v>
      </c>
      <c r="M693" t="s">
        <v>78</v>
      </c>
      <c r="N693" t="s">
        <v>1602</v>
      </c>
      <c r="O693" t="s">
        <v>11580</v>
      </c>
      <c r="P693" t="s">
        <v>11581</v>
      </c>
      <c r="Q693" t="s">
        <v>11582</v>
      </c>
      <c r="R693" t="s">
        <v>74</v>
      </c>
      <c r="S693" t="s">
        <v>74</v>
      </c>
      <c r="T693" t="s">
        <v>74</v>
      </c>
      <c r="U693" t="s">
        <v>11583</v>
      </c>
      <c r="V693" t="s">
        <v>11584</v>
      </c>
      <c r="W693" t="s">
        <v>11585</v>
      </c>
      <c r="X693" t="s">
        <v>74</v>
      </c>
      <c r="Y693" t="s">
        <v>11586</v>
      </c>
      <c r="Z693" t="s">
        <v>11587</v>
      </c>
      <c r="AA693" t="s">
        <v>74</v>
      </c>
      <c r="AB693" t="s">
        <v>74</v>
      </c>
      <c r="AC693" t="s">
        <v>74</v>
      </c>
      <c r="AD693" t="s">
        <v>74</v>
      </c>
      <c r="AE693" t="s">
        <v>74</v>
      </c>
      <c r="AF693" t="s">
        <v>74</v>
      </c>
      <c r="AG693">
        <v>19</v>
      </c>
      <c r="AH693">
        <v>7</v>
      </c>
      <c r="AI693">
        <v>12</v>
      </c>
      <c r="AJ693">
        <v>0</v>
      </c>
      <c r="AK693">
        <v>5</v>
      </c>
      <c r="AL693" t="s">
        <v>11567</v>
      </c>
      <c r="AM693" t="s">
        <v>7930</v>
      </c>
      <c r="AN693" t="s">
        <v>11568</v>
      </c>
      <c r="AO693" t="s">
        <v>11569</v>
      </c>
      <c r="AP693" t="s">
        <v>74</v>
      </c>
      <c r="AQ693" t="s">
        <v>74</v>
      </c>
      <c r="AR693" t="s">
        <v>11571</v>
      </c>
      <c r="AS693" t="s">
        <v>11572</v>
      </c>
      <c r="AT693" t="s">
        <v>11510</v>
      </c>
      <c r="AU693">
        <v>2007</v>
      </c>
      <c r="AV693">
        <v>39</v>
      </c>
      <c r="AW693">
        <v>4</v>
      </c>
      <c r="AX693" t="s">
        <v>74</v>
      </c>
      <c r="AY693" t="s">
        <v>74</v>
      </c>
      <c r="AZ693" t="s">
        <v>74</v>
      </c>
      <c r="BA693" t="s">
        <v>74</v>
      </c>
      <c r="BB693">
        <v>521</v>
      </c>
      <c r="BC693">
        <v>528</v>
      </c>
      <c r="BD693" t="s">
        <v>74</v>
      </c>
      <c r="BE693" t="s">
        <v>11588</v>
      </c>
      <c r="BF693" t="str">
        <f>HYPERLINK("http://dx.doi.org/10.1657/1523-0430(06-072)[CARSON]2.0.CO;2","http://dx.doi.org/10.1657/1523-0430(06-072)[CARSON]2.0.CO;2")</f>
        <v>http://dx.doi.org/10.1657/1523-0430(06-072)[CARSON]2.0.CO;2</v>
      </c>
      <c r="BG693" t="s">
        <v>74</v>
      </c>
      <c r="BH693" t="s">
        <v>74</v>
      </c>
      <c r="BI693">
        <v>8</v>
      </c>
      <c r="BJ693" t="s">
        <v>11574</v>
      </c>
      <c r="BK693" t="s">
        <v>1616</v>
      </c>
      <c r="BL693" t="s">
        <v>4449</v>
      </c>
      <c r="BM693" t="s">
        <v>11575</v>
      </c>
      <c r="BN693" t="s">
        <v>74</v>
      </c>
      <c r="BO693" t="s">
        <v>1050</v>
      </c>
      <c r="BP693" t="s">
        <v>74</v>
      </c>
      <c r="BQ693" t="s">
        <v>74</v>
      </c>
      <c r="BR693" t="s">
        <v>100</v>
      </c>
      <c r="BS693" t="s">
        <v>11589</v>
      </c>
      <c r="BT693" t="str">
        <f>HYPERLINK("https%3A%2F%2Fwww.webofscience.com%2Fwos%2Fwoscc%2Ffull-record%2FWOS:000250962500002","View Full Record in Web of Science")</f>
        <v>View Full Record in Web of Science</v>
      </c>
    </row>
    <row r="694" spans="1:72" x14ac:dyDescent="0.15">
      <c r="A694" t="s">
        <v>72</v>
      </c>
      <c r="B694" t="s">
        <v>11590</v>
      </c>
      <c r="C694" t="s">
        <v>74</v>
      </c>
      <c r="D694" t="s">
        <v>74</v>
      </c>
      <c r="E694" t="s">
        <v>74</v>
      </c>
      <c r="F694" t="s">
        <v>11591</v>
      </c>
      <c r="G694" t="s">
        <v>74</v>
      </c>
      <c r="H694" t="s">
        <v>74</v>
      </c>
      <c r="I694" t="s">
        <v>11592</v>
      </c>
      <c r="J694" t="s">
        <v>11560</v>
      </c>
      <c r="K694" t="s">
        <v>74</v>
      </c>
      <c r="L694" t="s">
        <v>74</v>
      </c>
      <c r="M694" t="s">
        <v>78</v>
      </c>
      <c r="N694" t="s">
        <v>1602</v>
      </c>
      <c r="O694" t="s">
        <v>11580</v>
      </c>
      <c r="P694" t="s">
        <v>11581</v>
      </c>
      <c r="Q694" t="s">
        <v>11582</v>
      </c>
      <c r="R694" t="s">
        <v>74</v>
      </c>
      <c r="S694" t="s">
        <v>74</v>
      </c>
      <c r="T694" t="s">
        <v>74</v>
      </c>
      <c r="U694" t="s">
        <v>11593</v>
      </c>
      <c r="V694" t="s">
        <v>11594</v>
      </c>
      <c r="W694" t="s">
        <v>11595</v>
      </c>
      <c r="X694" t="s">
        <v>11596</v>
      </c>
      <c r="Y694" t="s">
        <v>11597</v>
      </c>
      <c r="Z694" t="s">
        <v>11598</v>
      </c>
      <c r="AA694" t="s">
        <v>74</v>
      </c>
      <c r="AB694" t="s">
        <v>11599</v>
      </c>
      <c r="AC694" t="s">
        <v>74</v>
      </c>
      <c r="AD694" t="s">
        <v>74</v>
      </c>
      <c r="AE694" t="s">
        <v>74</v>
      </c>
      <c r="AF694" t="s">
        <v>74</v>
      </c>
      <c r="AG694">
        <v>22</v>
      </c>
      <c r="AH694">
        <v>7</v>
      </c>
      <c r="AI694">
        <v>9</v>
      </c>
      <c r="AJ694">
        <v>0</v>
      </c>
      <c r="AK694">
        <v>12</v>
      </c>
      <c r="AL694" t="s">
        <v>11567</v>
      </c>
      <c r="AM694" t="s">
        <v>7930</v>
      </c>
      <c r="AN694" t="s">
        <v>11568</v>
      </c>
      <c r="AO694" t="s">
        <v>11569</v>
      </c>
      <c r="AP694" t="s">
        <v>74</v>
      </c>
      <c r="AQ694" t="s">
        <v>74</v>
      </c>
      <c r="AR694" t="s">
        <v>11571</v>
      </c>
      <c r="AS694" t="s">
        <v>11572</v>
      </c>
      <c r="AT694" t="s">
        <v>11510</v>
      </c>
      <c r="AU694">
        <v>2007</v>
      </c>
      <c r="AV694">
        <v>39</v>
      </c>
      <c r="AW694">
        <v>4</v>
      </c>
      <c r="AX694" t="s">
        <v>74</v>
      </c>
      <c r="AY694" t="s">
        <v>74</v>
      </c>
      <c r="AZ694" t="s">
        <v>74</v>
      </c>
      <c r="BA694" t="s">
        <v>74</v>
      </c>
      <c r="BB694">
        <v>529</v>
      </c>
      <c r="BC694">
        <v>536</v>
      </c>
      <c r="BD694" t="s">
        <v>74</v>
      </c>
      <c r="BE694" t="s">
        <v>11600</v>
      </c>
      <c r="BF694" t="str">
        <f>HYPERLINK("http://dx.doi.org/10.1657/1523-0430(06-060)[REFSNIDER]2.0.CO;2","http://dx.doi.org/10.1657/1523-0430(06-060)[REFSNIDER]2.0.CO;2")</f>
        <v>http://dx.doi.org/10.1657/1523-0430(06-060)[REFSNIDER]2.0.CO;2</v>
      </c>
      <c r="BG694" t="s">
        <v>74</v>
      </c>
      <c r="BH694" t="s">
        <v>74</v>
      </c>
      <c r="BI694">
        <v>8</v>
      </c>
      <c r="BJ694" t="s">
        <v>11574</v>
      </c>
      <c r="BK694" t="s">
        <v>8389</v>
      </c>
      <c r="BL694" t="s">
        <v>4449</v>
      </c>
      <c r="BM694" t="s">
        <v>11575</v>
      </c>
      <c r="BN694" t="s">
        <v>74</v>
      </c>
      <c r="BO694" t="s">
        <v>1050</v>
      </c>
      <c r="BP694" t="s">
        <v>74</v>
      </c>
      <c r="BQ694" t="s">
        <v>74</v>
      </c>
      <c r="BR694" t="s">
        <v>100</v>
      </c>
      <c r="BS694" t="s">
        <v>11601</v>
      </c>
      <c r="BT694" t="str">
        <f>HYPERLINK("https%3A%2F%2Fwww.webofscience.com%2Fwos%2Fwoscc%2Ffull-record%2FWOS:000250962500003","View Full Record in Web of Science")</f>
        <v>View Full Record in Web of Science</v>
      </c>
    </row>
    <row r="695" spans="1:72" x14ac:dyDescent="0.15">
      <c r="A695" t="s">
        <v>72</v>
      </c>
      <c r="B695" t="s">
        <v>11602</v>
      </c>
      <c r="C695" t="s">
        <v>74</v>
      </c>
      <c r="D695" t="s">
        <v>74</v>
      </c>
      <c r="E695" t="s">
        <v>74</v>
      </c>
      <c r="F695" t="s">
        <v>11603</v>
      </c>
      <c r="G695" t="s">
        <v>74</v>
      </c>
      <c r="H695" t="s">
        <v>74</v>
      </c>
      <c r="I695" t="s">
        <v>11604</v>
      </c>
      <c r="J695" t="s">
        <v>11560</v>
      </c>
      <c r="K695" t="s">
        <v>74</v>
      </c>
      <c r="L695" t="s">
        <v>74</v>
      </c>
      <c r="M695" t="s">
        <v>78</v>
      </c>
      <c r="N695" t="s">
        <v>1602</v>
      </c>
      <c r="O695" t="s">
        <v>11580</v>
      </c>
      <c r="P695" t="s">
        <v>11581</v>
      </c>
      <c r="Q695" t="s">
        <v>11582</v>
      </c>
      <c r="R695" t="s">
        <v>74</v>
      </c>
      <c r="S695" t="s">
        <v>74</v>
      </c>
      <c r="T695" t="s">
        <v>74</v>
      </c>
      <c r="U695" t="s">
        <v>11605</v>
      </c>
      <c r="V695" t="s">
        <v>11606</v>
      </c>
      <c r="W695" t="s">
        <v>11607</v>
      </c>
      <c r="X695" t="s">
        <v>11608</v>
      </c>
      <c r="Y695" t="s">
        <v>11564</v>
      </c>
      <c r="Z695" t="s">
        <v>11609</v>
      </c>
      <c r="AA695" t="s">
        <v>11610</v>
      </c>
      <c r="AB695" t="s">
        <v>11611</v>
      </c>
      <c r="AC695" t="s">
        <v>74</v>
      </c>
      <c r="AD695" t="s">
        <v>74</v>
      </c>
      <c r="AE695" t="s">
        <v>74</v>
      </c>
      <c r="AF695" t="s">
        <v>74</v>
      </c>
      <c r="AG695">
        <v>68</v>
      </c>
      <c r="AH695">
        <v>15</v>
      </c>
      <c r="AI695">
        <v>19</v>
      </c>
      <c r="AJ695">
        <v>1</v>
      </c>
      <c r="AK695">
        <v>12</v>
      </c>
      <c r="AL695" t="s">
        <v>1331</v>
      </c>
      <c r="AM695" t="s">
        <v>1421</v>
      </c>
      <c r="AN695" t="s">
        <v>2160</v>
      </c>
      <c r="AO695" t="s">
        <v>11569</v>
      </c>
      <c r="AP695" t="s">
        <v>11570</v>
      </c>
      <c r="AQ695" t="s">
        <v>74</v>
      </c>
      <c r="AR695" t="s">
        <v>11571</v>
      </c>
      <c r="AS695" t="s">
        <v>11572</v>
      </c>
      <c r="AT695" t="s">
        <v>11510</v>
      </c>
      <c r="AU695">
        <v>2007</v>
      </c>
      <c r="AV695">
        <v>39</v>
      </c>
      <c r="AW695">
        <v>4</v>
      </c>
      <c r="AX695" t="s">
        <v>74</v>
      </c>
      <c r="AY695" t="s">
        <v>74</v>
      </c>
      <c r="AZ695" t="s">
        <v>74</v>
      </c>
      <c r="BA695" t="s">
        <v>74</v>
      </c>
      <c r="BB695">
        <v>537</v>
      </c>
      <c r="BC695">
        <v>548</v>
      </c>
      <c r="BD695" t="s">
        <v>74</v>
      </c>
      <c r="BE695" t="s">
        <v>11612</v>
      </c>
      <c r="BF695" t="str">
        <f>HYPERLINK("http://dx.doi.org/10.1657/1523-0430(06-089)[LAABS]2.0.CO;2","http://dx.doi.org/10.1657/1523-0430(06-089)[LAABS]2.0.CO;2")</f>
        <v>http://dx.doi.org/10.1657/1523-0430(06-089)[LAABS]2.0.CO;2</v>
      </c>
      <c r="BG695" t="s">
        <v>74</v>
      </c>
      <c r="BH695" t="s">
        <v>74</v>
      </c>
      <c r="BI695">
        <v>12</v>
      </c>
      <c r="BJ695" t="s">
        <v>11574</v>
      </c>
      <c r="BK695" t="s">
        <v>1616</v>
      </c>
      <c r="BL695" t="s">
        <v>4449</v>
      </c>
      <c r="BM695" t="s">
        <v>11575</v>
      </c>
      <c r="BN695" t="s">
        <v>74</v>
      </c>
      <c r="BO695" t="s">
        <v>1050</v>
      </c>
      <c r="BP695" t="s">
        <v>74</v>
      </c>
      <c r="BQ695" t="s">
        <v>74</v>
      </c>
      <c r="BR695" t="s">
        <v>100</v>
      </c>
      <c r="BS695" t="s">
        <v>11613</v>
      </c>
      <c r="BT695" t="str">
        <f>HYPERLINK("https%3A%2F%2Fwww.webofscience.com%2Fwos%2Fwoscc%2Ffull-record%2FWOS:000250962500004","View Full Record in Web of Science")</f>
        <v>View Full Record in Web of Science</v>
      </c>
    </row>
    <row r="696" spans="1:72" x14ac:dyDescent="0.15">
      <c r="A696" t="s">
        <v>72</v>
      </c>
      <c r="B696" t="s">
        <v>11614</v>
      </c>
      <c r="C696" t="s">
        <v>74</v>
      </c>
      <c r="D696" t="s">
        <v>74</v>
      </c>
      <c r="E696" t="s">
        <v>74</v>
      </c>
      <c r="F696" t="s">
        <v>11615</v>
      </c>
      <c r="G696" t="s">
        <v>74</v>
      </c>
      <c r="H696" t="s">
        <v>74</v>
      </c>
      <c r="I696" t="s">
        <v>11616</v>
      </c>
      <c r="J696" t="s">
        <v>11560</v>
      </c>
      <c r="K696" t="s">
        <v>74</v>
      </c>
      <c r="L696" t="s">
        <v>74</v>
      </c>
      <c r="M696" t="s">
        <v>78</v>
      </c>
      <c r="N696" t="s">
        <v>1602</v>
      </c>
      <c r="O696" t="s">
        <v>11580</v>
      </c>
      <c r="P696" t="s">
        <v>11581</v>
      </c>
      <c r="Q696" t="s">
        <v>11582</v>
      </c>
      <c r="R696" t="s">
        <v>74</v>
      </c>
      <c r="S696" t="s">
        <v>74</v>
      </c>
      <c r="T696" t="s">
        <v>74</v>
      </c>
      <c r="U696" t="s">
        <v>11617</v>
      </c>
      <c r="V696" t="s">
        <v>11618</v>
      </c>
      <c r="W696" t="s">
        <v>11619</v>
      </c>
      <c r="X696" t="s">
        <v>11620</v>
      </c>
      <c r="Y696" t="s">
        <v>11621</v>
      </c>
      <c r="Z696" t="s">
        <v>11622</v>
      </c>
      <c r="AA696" t="s">
        <v>74</v>
      </c>
      <c r="AB696" t="s">
        <v>74</v>
      </c>
      <c r="AC696" t="s">
        <v>74</v>
      </c>
      <c r="AD696" t="s">
        <v>74</v>
      </c>
      <c r="AE696" t="s">
        <v>74</v>
      </c>
      <c r="AF696" t="s">
        <v>74</v>
      </c>
      <c r="AG696">
        <v>27</v>
      </c>
      <c r="AH696">
        <v>17</v>
      </c>
      <c r="AI696">
        <v>24</v>
      </c>
      <c r="AJ696">
        <v>1</v>
      </c>
      <c r="AK696">
        <v>25</v>
      </c>
      <c r="AL696" t="s">
        <v>1331</v>
      </c>
      <c r="AM696" t="s">
        <v>1421</v>
      </c>
      <c r="AN696" t="s">
        <v>2160</v>
      </c>
      <c r="AO696" t="s">
        <v>11569</v>
      </c>
      <c r="AP696" t="s">
        <v>11570</v>
      </c>
      <c r="AQ696" t="s">
        <v>74</v>
      </c>
      <c r="AR696" t="s">
        <v>11571</v>
      </c>
      <c r="AS696" t="s">
        <v>11572</v>
      </c>
      <c r="AT696" t="s">
        <v>11510</v>
      </c>
      <c r="AU696">
        <v>2007</v>
      </c>
      <c r="AV696">
        <v>39</v>
      </c>
      <c r="AW696">
        <v>4</v>
      </c>
      <c r="AX696" t="s">
        <v>74</v>
      </c>
      <c r="AY696" t="s">
        <v>74</v>
      </c>
      <c r="AZ696" t="s">
        <v>74</v>
      </c>
      <c r="BA696" t="s">
        <v>74</v>
      </c>
      <c r="BB696">
        <v>549</v>
      </c>
      <c r="BC696">
        <v>555</v>
      </c>
      <c r="BD696" t="s">
        <v>74</v>
      </c>
      <c r="BE696" t="s">
        <v>11623</v>
      </c>
      <c r="BF696" t="str">
        <f>HYPERLINK("http://dx.doi.org/10.1657/1523-0430(06-070)[MACDONALD]2.0.CO;2","http://dx.doi.org/10.1657/1523-0430(06-070)[MACDONALD]2.0.CO;2")</f>
        <v>http://dx.doi.org/10.1657/1523-0430(06-070)[MACDONALD]2.0.CO;2</v>
      </c>
      <c r="BG696" t="s">
        <v>74</v>
      </c>
      <c r="BH696" t="s">
        <v>74</v>
      </c>
      <c r="BI696">
        <v>7</v>
      </c>
      <c r="BJ696" t="s">
        <v>11574</v>
      </c>
      <c r="BK696" t="s">
        <v>1616</v>
      </c>
      <c r="BL696" t="s">
        <v>4449</v>
      </c>
      <c r="BM696" t="s">
        <v>11575</v>
      </c>
      <c r="BN696" t="s">
        <v>74</v>
      </c>
      <c r="BO696" t="s">
        <v>1050</v>
      </c>
      <c r="BP696" t="s">
        <v>74</v>
      </c>
      <c r="BQ696" t="s">
        <v>74</v>
      </c>
      <c r="BR696" t="s">
        <v>100</v>
      </c>
      <c r="BS696" t="s">
        <v>11624</v>
      </c>
      <c r="BT696" t="str">
        <f>HYPERLINK("https%3A%2F%2Fwww.webofscience.com%2Fwos%2Fwoscc%2Ffull-record%2FWOS:000250962500005","View Full Record in Web of Science")</f>
        <v>View Full Record in Web of Science</v>
      </c>
    </row>
    <row r="697" spans="1:72" x14ac:dyDescent="0.15">
      <c r="A697" t="s">
        <v>72</v>
      </c>
      <c r="B697" t="s">
        <v>11625</v>
      </c>
      <c r="C697" t="s">
        <v>74</v>
      </c>
      <c r="D697" t="s">
        <v>74</v>
      </c>
      <c r="E697" t="s">
        <v>74</v>
      </c>
      <c r="F697" t="s">
        <v>11626</v>
      </c>
      <c r="G697" t="s">
        <v>74</v>
      </c>
      <c r="H697" t="s">
        <v>74</v>
      </c>
      <c r="I697" t="s">
        <v>11627</v>
      </c>
      <c r="J697" t="s">
        <v>11560</v>
      </c>
      <c r="K697" t="s">
        <v>74</v>
      </c>
      <c r="L697" t="s">
        <v>74</v>
      </c>
      <c r="M697" t="s">
        <v>78</v>
      </c>
      <c r="N697" t="s">
        <v>1602</v>
      </c>
      <c r="O697" t="s">
        <v>11580</v>
      </c>
      <c r="P697" t="s">
        <v>11581</v>
      </c>
      <c r="Q697" t="s">
        <v>11582</v>
      </c>
      <c r="R697" t="s">
        <v>74</v>
      </c>
      <c r="S697" t="s">
        <v>74</v>
      </c>
      <c r="T697" t="s">
        <v>74</v>
      </c>
      <c r="U697" t="s">
        <v>11628</v>
      </c>
      <c r="V697" t="s">
        <v>11629</v>
      </c>
      <c r="W697" t="s">
        <v>11630</v>
      </c>
      <c r="X697" t="s">
        <v>74</v>
      </c>
      <c r="Y697" t="s">
        <v>11631</v>
      </c>
      <c r="Z697" t="s">
        <v>11632</v>
      </c>
      <c r="AA697" t="s">
        <v>74</v>
      </c>
      <c r="AB697" t="s">
        <v>74</v>
      </c>
      <c r="AC697" t="s">
        <v>74</v>
      </c>
      <c r="AD697" t="s">
        <v>74</v>
      </c>
      <c r="AE697" t="s">
        <v>74</v>
      </c>
      <c r="AF697" t="s">
        <v>74</v>
      </c>
      <c r="AG697">
        <v>29</v>
      </c>
      <c r="AH697">
        <v>9</v>
      </c>
      <c r="AI697">
        <v>13</v>
      </c>
      <c r="AJ697">
        <v>0</v>
      </c>
      <c r="AK697">
        <v>20</v>
      </c>
      <c r="AL697" t="s">
        <v>1331</v>
      </c>
      <c r="AM697" t="s">
        <v>1421</v>
      </c>
      <c r="AN697" t="s">
        <v>2160</v>
      </c>
      <c r="AO697" t="s">
        <v>11569</v>
      </c>
      <c r="AP697" t="s">
        <v>11570</v>
      </c>
      <c r="AQ697" t="s">
        <v>74</v>
      </c>
      <c r="AR697" t="s">
        <v>11571</v>
      </c>
      <c r="AS697" t="s">
        <v>11572</v>
      </c>
      <c r="AT697" t="s">
        <v>11510</v>
      </c>
      <c r="AU697">
        <v>2007</v>
      </c>
      <c r="AV697">
        <v>39</v>
      </c>
      <c r="AW697">
        <v>4</v>
      </c>
      <c r="AX697" t="s">
        <v>74</v>
      </c>
      <c r="AY697" t="s">
        <v>74</v>
      </c>
      <c r="AZ697" t="s">
        <v>74</v>
      </c>
      <c r="BA697" t="s">
        <v>74</v>
      </c>
      <c r="BB697">
        <v>556</v>
      </c>
      <c r="BC697">
        <v>565</v>
      </c>
      <c r="BD697" t="s">
        <v>74</v>
      </c>
      <c r="BE697" t="s">
        <v>11633</v>
      </c>
      <c r="BF697" t="str">
        <f>HYPERLINK("http://dx.doi.org/10.1657/1523-0430(06-096)[MUNROE]2.0.CO;2","http://dx.doi.org/10.1657/1523-0430(06-096)[MUNROE]2.0.CO;2")</f>
        <v>http://dx.doi.org/10.1657/1523-0430(06-096)[MUNROE]2.0.CO;2</v>
      </c>
      <c r="BG697" t="s">
        <v>74</v>
      </c>
      <c r="BH697" t="s">
        <v>74</v>
      </c>
      <c r="BI697">
        <v>10</v>
      </c>
      <c r="BJ697" t="s">
        <v>11574</v>
      </c>
      <c r="BK697" t="s">
        <v>1616</v>
      </c>
      <c r="BL697" t="s">
        <v>4449</v>
      </c>
      <c r="BM697" t="s">
        <v>11575</v>
      </c>
      <c r="BN697" t="s">
        <v>74</v>
      </c>
      <c r="BO697" t="s">
        <v>1050</v>
      </c>
      <c r="BP697" t="s">
        <v>74</v>
      </c>
      <c r="BQ697" t="s">
        <v>74</v>
      </c>
      <c r="BR697" t="s">
        <v>100</v>
      </c>
      <c r="BS697" t="s">
        <v>11634</v>
      </c>
      <c r="BT697" t="str">
        <f>HYPERLINK("https%3A%2F%2Fwww.webofscience.com%2Fwos%2Fwoscc%2Ffull-record%2FWOS:000250962500006","View Full Record in Web of Science")</f>
        <v>View Full Record in Web of Science</v>
      </c>
    </row>
    <row r="698" spans="1:72" x14ac:dyDescent="0.15">
      <c r="A698" t="s">
        <v>72</v>
      </c>
      <c r="B698" t="s">
        <v>11635</v>
      </c>
      <c r="C698" t="s">
        <v>74</v>
      </c>
      <c r="D698" t="s">
        <v>74</v>
      </c>
      <c r="E698" t="s">
        <v>74</v>
      </c>
      <c r="F698" t="s">
        <v>11636</v>
      </c>
      <c r="G698" t="s">
        <v>74</v>
      </c>
      <c r="H698" t="s">
        <v>74</v>
      </c>
      <c r="I698" t="s">
        <v>11637</v>
      </c>
      <c r="J698" t="s">
        <v>11560</v>
      </c>
      <c r="K698" t="s">
        <v>74</v>
      </c>
      <c r="L698" t="s">
        <v>74</v>
      </c>
      <c r="M698" t="s">
        <v>78</v>
      </c>
      <c r="N698" t="s">
        <v>1602</v>
      </c>
      <c r="O698" t="s">
        <v>11580</v>
      </c>
      <c r="P698" t="s">
        <v>11581</v>
      </c>
      <c r="Q698" t="s">
        <v>11582</v>
      </c>
      <c r="R698" t="s">
        <v>74</v>
      </c>
      <c r="S698" t="s">
        <v>74</v>
      </c>
      <c r="T698" t="s">
        <v>74</v>
      </c>
      <c r="U698" t="s">
        <v>11638</v>
      </c>
      <c r="V698" t="s">
        <v>11639</v>
      </c>
      <c r="W698" t="s">
        <v>11640</v>
      </c>
      <c r="X698" t="s">
        <v>11641</v>
      </c>
      <c r="Y698" t="s">
        <v>11642</v>
      </c>
      <c r="Z698" t="s">
        <v>11643</v>
      </c>
      <c r="AA698" t="s">
        <v>11644</v>
      </c>
      <c r="AB698" t="s">
        <v>11645</v>
      </c>
      <c r="AC698" t="s">
        <v>74</v>
      </c>
      <c r="AD698" t="s">
        <v>74</v>
      </c>
      <c r="AE698" t="s">
        <v>74</v>
      </c>
      <c r="AF698" t="s">
        <v>74</v>
      </c>
      <c r="AG698">
        <v>36</v>
      </c>
      <c r="AH698">
        <v>15</v>
      </c>
      <c r="AI698">
        <v>22</v>
      </c>
      <c r="AJ698">
        <v>0</v>
      </c>
      <c r="AK698">
        <v>6</v>
      </c>
      <c r="AL698" t="s">
        <v>1331</v>
      </c>
      <c r="AM698" t="s">
        <v>1421</v>
      </c>
      <c r="AN698" t="s">
        <v>2160</v>
      </c>
      <c r="AO698" t="s">
        <v>11569</v>
      </c>
      <c r="AP698" t="s">
        <v>11570</v>
      </c>
      <c r="AQ698" t="s">
        <v>74</v>
      </c>
      <c r="AR698" t="s">
        <v>11571</v>
      </c>
      <c r="AS698" t="s">
        <v>11572</v>
      </c>
      <c r="AT698" t="s">
        <v>11510</v>
      </c>
      <c r="AU698">
        <v>2007</v>
      </c>
      <c r="AV698">
        <v>39</v>
      </c>
      <c r="AW698">
        <v>4</v>
      </c>
      <c r="AX698" t="s">
        <v>74</v>
      </c>
      <c r="AY698" t="s">
        <v>74</v>
      </c>
      <c r="AZ698" t="s">
        <v>74</v>
      </c>
      <c r="BA698" t="s">
        <v>74</v>
      </c>
      <c r="BB698">
        <v>566</v>
      </c>
      <c r="BC698">
        <v>577</v>
      </c>
      <c r="BD698" t="s">
        <v>74</v>
      </c>
      <c r="BE698" t="s">
        <v>11646</v>
      </c>
      <c r="BF698" t="str">
        <f>HYPERLINK("http://dx.doi.org/10.1657/1523-0430(07-033)[PORINCHU]2.0.CO;2","http://dx.doi.org/10.1657/1523-0430(07-033)[PORINCHU]2.0.CO;2")</f>
        <v>http://dx.doi.org/10.1657/1523-0430(07-033)[PORINCHU]2.0.CO;2</v>
      </c>
      <c r="BG698" t="s">
        <v>74</v>
      </c>
      <c r="BH698" t="s">
        <v>74</v>
      </c>
      <c r="BI698">
        <v>12</v>
      </c>
      <c r="BJ698" t="s">
        <v>11574</v>
      </c>
      <c r="BK698" t="s">
        <v>1616</v>
      </c>
      <c r="BL698" t="s">
        <v>4449</v>
      </c>
      <c r="BM698" t="s">
        <v>11575</v>
      </c>
      <c r="BN698" t="s">
        <v>74</v>
      </c>
      <c r="BO698" t="s">
        <v>610</v>
      </c>
      <c r="BP698" t="s">
        <v>74</v>
      </c>
      <c r="BQ698" t="s">
        <v>74</v>
      </c>
      <c r="BR698" t="s">
        <v>100</v>
      </c>
      <c r="BS698" t="s">
        <v>11647</v>
      </c>
      <c r="BT698" t="str">
        <f>HYPERLINK("https%3A%2F%2Fwww.webofscience.com%2Fwos%2Fwoscc%2Ffull-record%2FWOS:000250962500007","View Full Record in Web of Science")</f>
        <v>View Full Record in Web of Science</v>
      </c>
    </row>
    <row r="699" spans="1:72" x14ac:dyDescent="0.15">
      <c r="A699" t="s">
        <v>72</v>
      </c>
      <c r="B699" t="s">
        <v>11625</v>
      </c>
      <c r="C699" t="s">
        <v>74</v>
      </c>
      <c r="D699" t="s">
        <v>74</v>
      </c>
      <c r="E699" t="s">
        <v>74</v>
      </c>
      <c r="F699" t="s">
        <v>11626</v>
      </c>
      <c r="G699" t="s">
        <v>74</v>
      </c>
      <c r="H699" t="s">
        <v>74</v>
      </c>
      <c r="I699" t="s">
        <v>11648</v>
      </c>
      <c r="J699" t="s">
        <v>11560</v>
      </c>
      <c r="K699" t="s">
        <v>74</v>
      </c>
      <c r="L699" t="s">
        <v>74</v>
      </c>
      <c r="M699" t="s">
        <v>78</v>
      </c>
      <c r="N699" t="s">
        <v>1602</v>
      </c>
      <c r="O699" t="s">
        <v>11580</v>
      </c>
      <c r="P699" t="s">
        <v>11581</v>
      </c>
      <c r="Q699" t="s">
        <v>11582</v>
      </c>
      <c r="R699" t="s">
        <v>74</v>
      </c>
      <c r="S699" t="s">
        <v>74</v>
      </c>
      <c r="T699" t="s">
        <v>74</v>
      </c>
      <c r="U699" t="s">
        <v>11649</v>
      </c>
      <c r="V699" t="s">
        <v>11650</v>
      </c>
      <c r="W699" t="s">
        <v>11630</v>
      </c>
      <c r="X699" t="s">
        <v>74</v>
      </c>
      <c r="Y699" t="s">
        <v>11631</v>
      </c>
      <c r="Z699" t="s">
        <v>11632</v>
      </c>
      <c r="AA699" t="s">
        <v>74</v>
      </c>
      <c r="AB699" t="s">
        <v>74</v>
      </c>
      <c r="AC699" t="s">
        <v>74</v>
      </c>
      <c r="AD699" t="s">
        <v>74</v>
      </c>
      <c r="AE699" t="s">
        <v>74</v>
      </c>
      <c r="AF699" t="s">
        <v>74</v>
      </c>
      <c r="AG699">
        <v>53</v>
      </c>
      <c r="AH699">
        <v>21</v>
      </c>
      <c r="AI699">
        <v>24</v>
      </c>
      <c r="AJ699">
        <v>0</v>
      </c>
      <c r="AK699">
        <v>15</v>
      </c>
      <c r="AL699" t="s">
        <v>1331</v>
      </c>
      <c r="AM699" t="s">
        <v>1421</v>
      </c>
      <c r="AN699" t="s">
        <v>2160</v>
      </c>
      <c r="AO699" t="s">
        <v>11569</v>
      </c>
      <c r="AP699" t="s">
        <v>11570</v>
      </c>
      <c r="AQ699" t="s">
        <v>74</v>
      </c>
      <c r="AR699" t="s">
        <v>11571</v>
      </c>
      <c r="AS699" t="s">
        <v>11572</v>
      </c>
      <c r="AT699" t="s">
        <v>11510</v>
      </c>
      <c r="AU699">
        <v>2007</v>
      </c>
      <c r="AV699">
        <v>39</v>
      </c>
      <c r="AW699">
        <v>4</v>
      </c>
      <c r="AX699" t="s">
        <v>74</v>
      </c>
      <c r="AY699" t="s">
        <v>74</v>
      </c>
      <c r="AZ699" t="s">
        <v>74</v>
      </c>
      <c r="BA699" t="s">
        <v>74</v>
      </c>
      <c r="BB699">
        <v>578</v>
      </c>
      <c r="BC699">
        <v>591</v>
      </c>
      <c r="BD699" t="s">
        <v>74</v>
      </c>
      <c r="BE699" t="s">
        <v>11651</v>
      </c>
      <c r="BF699" t="str">
        <f>HYPERLINK("http://dx.doi.org/10.1657/1523-0430(06-077)[MUNROE]2.0.CO;2","http://dx.doi.org/10.1657/1523-0430(06-077)[MUNROE]2.0.CO;2")</f>
        <v>http://dx.doi.org/10.1657/1523-0430(06-077)[MUNROE]2.0.CO;2</v>
      </c>
      <c r="BG699" t="s">
        <v>74</v>
      </c>
      <c r="BH699" t="s">
        <v>74</v>
      </c>
      <c r="BI699">
        <v>14</v>
      </c>
      <c r="BJ699" t="s">
        <v>11574</v>
      </c>
      <c r="BK699" t="s">
        <v>1616</v>
      </c>
      <c r="BL699" t="s">
        <v>4449</v>
      </c>
      <c r="BM699" t="s">
        <v>11575</v>
      </c>
      <c r="BN699" t="s">
        <v>74</v>
      </c>
      <c r="BO699" t="s">
        <v>610</v>
      </c>
      <c r="BP699" t="s">
        <v>74</v>
      </c>
      <c r="BQ699" t="s">
        <v>74</v>
      </c>
      <c r="BR699" t="s">
        <v>100</v>
      </c>
      <c r="BS699" t="s">
        <v>11652</v>
      </c>
      <c r="BT699" t="str">
        <f>HYPERLINK("https%3A%2F%2Fwww.webofscience.com%2Fwos%2Fwoscc%2Ffull-record%2FWOS:000250962500008","View Full Record in Web of Science")</f>
        <v>View Full Record in Web of Science</v>
      </c>
    </row>
    <row r="700" spans="1:72" x14ac:dyDescent="0.15">
      <c r="A700" t="s">
        <v>72</v>
      </c>
      <c r="B700" t="s">
        <v>11653</v>
      </c>
      <c r="C700" t="s">
        <v>74</v>
      </c>
      <c r="D700" t="s">
        <v>74</v>
      </c>
      <c r="E700" t="s">
        <v>74</v>
      </c>
      <c r="F700" t="s">
        <v>11654</v>
      </c>
      <c r="G700" t="s">
        <v>74</v>
      </c>
      <c r="H700" t="s">
        <v>74</v>
      </c>
      <c r="I700" t="s">
        <v>11655</v>
      </c>
      <c r="J700" t="s">
        <v>11560</v>
      </c>
      <c r="K700" t="s">
        <v>74</v>
      </c>
      <c r="L700" t="s">
        <v>74</v>
      </c>
      <c r="M700" t="s">
        <v>78</v>
      </c>
      <c r="N700" t="s">
        <v>1602</v>
      </c>
      <c r="O700" t="s">
        <v>11580</v>
      </c>
      <c r="P700" t="s">
        <v>11581</v>
      </c>
      <c r="Q700" t="s">
        <v>11582</v>
      </c>
      <c r="R700" t="s">
        <v>74</v>
      </c>
      <c r="S700" t="s">
        <v>74</v>
      </c>
      <c r="T700" t="s">
        <v>74</v>
      </c>
      <c r="U700" t="s">
        <v>11656</v>
      </c>
      <c r="V700" t="s">
        <v>11657</v>
      </c>
      <c r="W700" t="s">
        <v>11658</v>
      </c>
      <c r="X700" t="s">
        <v>6949</v>
      </c>
      <c r="Y700" t="s">
        <v>11659</v>
      </c>
      <c r="Z700" t="s">
        <v>11660</v>
      </c>
      <c r="AA700" t="s">
        <v>74</v>
      </c>
      <c r="AB700" t="s">
        <v>74</v>
      </c>
      <c r="AC700" t="s">
        <v>74</v>
      </c>
      <c r="AD700" t="s">
        <v>74</v>
      </c>
      <c r="AE700" t="s">
        <v>74</v>
      </c>
      <c r="AF700" t="s">
        <v>74</v>
      </c>
      <c r="AG700">
        <v>51</v>
      </c>
      <c r="AH700">
        <v>7</v>
      </c>
      <c r="AI700">
        <v>10</v>
      </c>
      <c r="AJ700">
        <v>1</v>
      </c>
      <c r="AK700">
        <v>7</v>
      </c>
      <c r="AL700" t="s">
        <v>11567</v>
      </c>
      <c r="AM700" t="s">
        <v>7930</v>
      </c>
      <c r="AN700" t="s">
        <v>11568</v>
      </c>
      <c r="AO700" t="s">
        <v>11569</v>
      </c>
      <c r="AP700" t="s">
        <v>74</v>
      </c>
      <c r="AQ700" t="s">
        <v>74</v>
      </c>
      <c r="AR700" t="s">
        <v>11571</v>
      </c>
      <c r="AS700" t="s">
        <v>11572</v>
      </c>
      <c r="AT700" t="s">
        <v>11510</v>
      </c>
      <c r="AU700">
        <v>2007</v>
      </c>
      <c r="AV700">
        <v>39</v>
      </c>
      <c r="AW700">
        <v>4</v>
      </c>
      <c r="AX700" t="s">
        <v>74</v>
      </c>
      <c r="AY700" t="s">
        <v>74</v>
      </c>
      <c r="AZ700" t="s">
        <v>74</v>
      </c>
      <c r="BA700" t="s">
        <v>74</v>
      </c>
      <c r="BB700">
        <v>592</v>
      </c>
      <c r="BC700">
        <v>602</v>
      </c>
      <c r="BD700" t="s">
        <v>74</v>
      </c>
      <c r="BE700" t="s">
        <v>11661</v>
      </c>
      <c r="BF700" t="str">
        <f>HYPERLINK("http://dx.doi.org/10.1657/1523-0430(06-093)[DOUGLASS]2.0.CO;2","http://dx.doi.org/10.1657/1523-0430(06-093)[DOUGLASS]2.0.CO;2")</f>
        <v>http://dx.doi.org/10.1657/1523-0430(06-093)[DOUGLASS]2.0.CO;2</v>
      </c>
      <c r="BG700" t="s">
        <v>74</v>
      </c>
      <c r="BH700" t="s">
        <v>74</v>
      </c>
      <c r="BI700">
        <v>11</v>
      </c>
      <c r="BJ700" t="s">
        <v>11574</v>
      </c>
      <c r="BK700" t="s">
        <v>8389</v>
      </c>
      <c r="BL700" t="s">
        <v>4449</v>
      </c>
      <c r="BM700" t="s">
        <v>11575</v>
      </c>
      <c r="BN700" t="s">
        <v>74</v>
      </c>
      <c r="BO700" t="s">
        <v>1050</v>
      </c>
      <c r="BP700" t="s">
        <v>74</v>
      </c>
      <c r="BQ700" t="s">
        <v>74</v>
      </c>
      <c r="BR700" t="s">
        <v>100</v>
      </c>
      <c r="BS700" t="s">
        <v>11662</v>
      </c>
      <c r="BT700" t="str">
        <f>HYPERLINK("https%3A%2F%2Fwww.webofscience.com%2Fwos%2Fwoscc%2Ffull-record%2FWOS:000250962500009","View Full Record in Web of Science")</f>
        <v>View Full Record in Web of Science</v>
      </c>
    </row>
    <row r="701" spans="1:72" x14ac:dyDescent="0.15">
      <c r="A701" t="s">
        <v>72</v>
      </c>
      <c r="B701" t="s">
        <v>11663</v>
      </c>
      <c r="C701" t="s">
        <v>74</v>
      </c>
      <c r="D701" t="s">
        <v>74</v>
      </c>
      <c r="E701" t="s">
        <v>74</v>
      </c>
      <c r="F701" t="s">
        <v>11664</v>
      </c>
      <c r="G701" t="s">
        <v>74</v>
      </c>
      <c r="H701" t="s">
        <v>74</v>
      </c>
      <c r="I701" t="s">
        <v>11665</v>
      </c>
      <c r="J701" t="s">
        <v>11560</v>
      </c>
      <c r="K701" t="s">
        <v>74</v>
      </c>
      <c r="L701" t="s">
        <v>74</v>
      </c>
      <c r="M701" t="s">
        <v>78</v>
      </c>
      <c r="N701" t="s">
        <v>1602</v>
      </c>
      <c r="O701" t="s">
        <v>11580</v>
      </c>
      <c r="P701" t="s">
        <v>11581</v>
      </c>
      <c r="Q701" t="s">
        <v>11582</v>
      </c>
      <c r="R701" t="s">
        <v>74</v>
      </c>
      <c r="S701" t="s">
        <v>74</v>
      </c>
      <c r="T701" t="s">
        <v>74</v>
      </c>
      <c r="U701" t="s">
        <v>11666</v>
      </c>
      <c r="V701" t="s">
        <v>11667</v>
      </c>
      <c r="W701" t="s">
        <v>11668</v>
      </c>
      <c r="X701" t="s">
        <v>11669</v>
      </c>
      <c r="Y701" t="s">
        <v>11670</v>
      </c>
      <c r="Z701" t="s">
        <v>11671</v>
      </c>
      <c r="AA701" t="s">
        <v>11672</v>
      </c>
      <c r="AB701" t="s">
        <v>11673</v>
      </c>
      <c r="AC701" t="s">
        <v>74</v>
      </c>
      <c r="AD701" t="s">
        <v>74</v>
      </c>
      <c r="AE701" t="s">
        <v>74</v>
      </c>
      <c r="AF701" t="s">
        <v>74</v>
      </c>
      <c r="AG701">
        <v>46</v>
      </c>
      <c r="AH701">
        <v>12</v>
      </c>
      <c r="AI701">
        <v>14</v>
      </c>
      <c r="AJ701">
        <v>3</v>
      </c>
      <c r="AK701">
        <v>16</v>
      </c>
      <c r="AL701" t="s">
        <v>1331</v>
      </c>
      <c r="AM701" t="s">
        <v>1421</v>
      </c>
      <c r="AN701" t="s">
        <v>2160</v>
      </c>
      <c r="AO701" t="s">
        <v>11569</v>
      </c>
      <c r="AP701" t="s">
        <v>11570</v>
      </c>
      <c r="AQ701" t="s">
        <v>74</v>
      </c>
      <c r="AR701" t="s">
        <v>11571</v>
      </c>
      <c r="AS701" t="s">
        <v>11572</v>
      </c>
      <c r="AT701" t="s">
        <v>11510</v>
      </c>
      <c r="AU701">
        <v>2007</v>
      </c>
      <c r="AV701">
        <v>39</v>
      </c>
      <c r="AW701">
        <v>4</v>
      </c>
      <c r="AX701" t="s">
        <v>74</v>
      </c>
      <c r="AY701" t="s">
        <v>74</v>
      </c>
      <c r="AZ701" t="s">
        <v>74</v>
      </c>
      <c r="BA701" t="s">
        <v>74</v>
      </c>
      <c r="BB701">
        <v>603</v>
      </c>
      <c r="BC701">
        <v>613</v>
      </c>
      <c r="BD701" t="s">
        <v>74</v>
      </c>
      <c r="BE701" t="s">
        <v>74</v>
      </c>
      <c r="BF701" t="s">
        <v>74</v>
      </c>
      <c r="BG701" t="s">
        <v>74</v>
      </c>
      <c r="BH701" t="s">
        <v>74</v>
      </c>
      <c r="BI701">
        <v>11</v>
      </c>
      <c r="BJ701" t="s">
        <v>11574</v>
      </c>
      <c r="BK701" t="s">
        <v>1616</v>
      </c>
      <c r="BL701" t="s">
        <v>4449</v>
      </c>
      <c r="BM701" t="s">
        <v>11575</v>
      </c>
      <c r="BN701" t="s">
        <v>74</v>
      </c>
      <c r="BO701" t="s">
        <v>610</v>
      </c>
      <c r="BP701" t="s">
        <v>74</v>
      </c>
      <c r="BQ701" t="s">
        <v>74</v>
      </c>
      <c r="BR701" t="s">
        <v>100</v>
      </c>
      <c r="BS701" t="s">
        <v>11674</v>
      </c>
      <c r="BT701" t="str">
        <f>HYPERLINK("https%3A%2F%2Fwww.webofscience.com%2Fwos%2Fwoscc%2Ffull-record%2FWOS:000250962500010","View Full Record in Web of Science")</f>
        <v>View Full Record in Web of Science</v>
      </c>
    </row>
    <row r="702" spans="1:72" x14ac:dyDescent="0.15">
      <c r="A702" t="s">
        <v>72</v>
      </c>
      <c r="B702" t="s">
        <v>11675</v>
      </c>
      <c r="C702" t="s">
        <v>74</v>
      </c>
      <c r="D702" t="s">
        <v>74</v>
      </c>
      <c r="E702" t="s">
        <v>74</v>
      </c>
      <c r="F702" t="s">
        <v>11676</v>
      </c>
      <c r="G702" t="s">
        <v>74</v>
      </c>
      <c r="H702" t="s">
        <v>74</v>
      </c>
      <c r="I702" t="s">
        <v>11677</v>
      </c>
      <c r="J702" t="s">
        <v>11560</v>
      </c>
      <c r="K702" t="s">
        <v>74</v>
      </c>
      <c r="L702" t="s">
        <v>74</v>
      </c>
      <c r="M702" t="s">
        <v>78</v>
      </c>
      <c r="N702" t="s">
        <v>1602</v>
      </c>
      <c r="O702" t="s">
        <v>11580</v>
      </c>
      <c r="P702" t="s">
        <v>11581</v>
      </c>
      <c r="Q702" t="s">
        <v>11582</v>
      </c>
      <c r="R702" t="s">
        <v>74</v>
      </c>
      <c r="S702" t="s">
        <v>74</v>
      </c>
      <c r="T702" t="s">
        <v>74</v>
      </c>
      <c r="U702" t="s">
        <v>11678</v>
      </c>
      <c r="V702" t="s">
        <v>11679</v>
      </c>
      <c r="W702" t="s">
        <v>11680</v>
      </c>
      <c r="X702" t="s">
        <v>11681</v>
      </c>
      <c r="Y702" t="s">
        <v>11682</v>
      </c>
      <c r="Z702" t="s">
        <v>11683</v>
      </c>
      <c r="AA702" t="s">
        <v>74</v>
      </c>
      <c r="AB702" t="s">
        <v>74</v>
      </c>
      <c r="AC702" t="s">
        <v>74</v>
      </c>
      <c r="AD702" t="s">
        <v>74</v>
      </c>
      <c r="AE702" t="s">
        <v>74</v>
      </c>
      <c r="AF702" t="s">
        <v>74</v>
      </c>
      <c r="AG702">
        <v>33</v>
      </c>
      <c r="AH702">
        <v>13</v>
      </c>
      <c r="AI702">
        <v>22</v>
      </c>
      <c r="AJ702">
        <v>2</v>
      </c>
      <c r="AK702">
        <v>16</v>
      </c>
      <c r="AL702" t="s">
        <v>11567</v>
      </c>
      <c r="AM702" t="s">
        <v>7930</v>
      </c>
      <c r="AN702" t="s">
        <v>11568</v>
      </c>
      <c r="AO702" t="s">
        <v>11569</v>
      </c>
      <c r="AP702" t="s">
        <v>74</v>
      </c>
      <c r="AQ702" t="s">
        <v>74</v>
      </c>
      <c r="AR702" t="s">
        <v>11571</v>
      </c>
      <c r="AS702" t="s">
        <v>11572</v>
      </c>
      <c r="AT702" t="s">
        <v>11510</v>
      </c>
      <c r="AU702">
        <v>2007</v>
      </c>
      <c r="AV702">
        <v>39</v>
      </c>
      <c r="AW702">
        <v>4</v>
      </c>
      <c r="AX702" t="s">
        <v>74</v>
      </c>
      <c r="AY702" t="s">
        <v>74</v>
      </c>
      <c r="AZ702" t="s">
        <v>74</v>
      </c>
      <c r="BA702" t="s">
        <v>74</v>
      </c>
      <c r="BB702">
        <v>614</v>
      </c>
      <c r="BC702">
        <v>628</v>
      </c>
      <c r="BD702" t="s">
        <v>74</v>
      </c>
      <c r="BE702" t="s">
        <v>11684</v>
      </c>
      <c r="BF702" t="str">
        <f>HYPERLINK("http://dx.doi.org/10.1657/1523-0430(06-046)[SHAW]2.0.CO;2","http://dx.doi.org/10.1657/1523-0430(06-046)[SHAW]2.0.CO;2")</f>
        <v>http://dx.doi.org/10.1657/1523-0430(06-046)[SHAW]2.0.CO;2</v>
      </c>
      <c r="BG702" t="s">
        <v>74</v>
      </c>
      <c r="BH702" t="s">
        <v>74</v>
      </c>
      <c r="BI702">
        <v>15</v>
      </c>
      <c r="BJ702" t="s">
        <v>11574</v>
      </c>
      <c r="BK702" t="s">
        <v>8389</v>
      </c>
      <c r="BL702" t="s">
        <v>4449</v>
      </c>
      <c r="BM702" t="s">
        <v>11575</v>
      </c>
      <c r="BN702" t="s">
        <v>74</v>
      </c>
      <c r="BO702" t="s">
        <v>74</v>
      </c>
      <c r="BP702" t="s">
        <v>74</v>
      </c>
      <c r="BQ702" t="s">
        <v>74</v>
      </c>
      <c r="BR702" t="s">
        <v>100</v>
      </c>
      <c r="BS702" t="s">
        <v>11685</v>
      </c>
      <c r="BT702" t="str">
        <f>HYPERLINK("https%3A%2F%2Fwww.webofscience.com%2Fwos%2Fwoscc%2Ffull-record%2FWOS:000250962500011","View Full Record in Web of Science")</f>
        <v>View Full Record in Web of Science</v>
      </c>
    </row>
    <row r="703" spans="1:72" x14ac:dyDescent="0.15">
      <c r="A703" t="s">
        <v>72</v>
      </c>
      <c r="B703" t="s">
        <v>11011</v>
      </c>
      <c r="C703" t="s">
        <v>74</v>
      </c>
      <c r="D703" t="s">
        <v>74</v>
      </c>
      <c r="E703" t="s">
        <v>74</v>
      </c>
      <c r="F703" t="s">
        <v>11011</v>
      </c>
      <c r="G703" t="s">
        <v>74</v>
      </c>
      <c r="H703" t="s">
        <v>74</v>
      </c>
      <c r="I703" t="s">
        <v>11686</v>
      </c>
      <c r="J703" t="s">
        <v>11560</v>
      </c>
      <c r="K703" t="s">
        <v>74</v>
      </c>
      <c r="L703" t="s">
        <v>74</v>
      </c>
      <c r="M703" t="s">
        <v>78</v>
      </c>
      <c r="N703" t="s">
        <v>438</v>
      </c>
      <c r="O703" t="s">
        <v>74</v>
      </c>
      <c r="P703" t="s">
        <v>74</v>
      </c>
      <c r="Q703" t="s">
        <v>74</v>
      </c>
      <c r="R703" t="s">
        <v>74</v>
      </c>
      <c r="S703" t="s">
        <v>74</v>
      </c>
      <c r="T703" t="s">
        <v>74</v>
      </c>
      <c r="U703" t="s">
        <v>74</v>
      </c>
      <c r="V703" t="s">
        <v>74</v>
      </c>
      <c r="W703" t="s">
        <v>74</v>
      </c>
      <c r="X703" t="s">
        <v>74</v>
      </c>
      <c r="Y703" t="s">
        <v>74</v>
      </c>
      <c r="Z703" t="s">
        <v>74</v>
      </c>
      <c r="AA703" t="s">
        <v>74</v>
      </c>
      <c r="AB703" t="s">
        <v>74</v>
      </c>
      <c r="AC703" t="s">
        <v>74</v>
      </c>
      <c r="AD703" t="s">
        <v>74</v>
      </c>
      <c r="AE703" t="s">
        <v>74</v>
      </c>
      <c r="AF703" t="s">
        <v>74</v>
      </c>
      <c r="AG703">
        <v>0</v>
      </c>
      <c r="AH703">
        <v>0</v>
      </c>
      <c r="AI703">
        <v>0</v>
      </c>
      <c r="AJ703">
        <v>1</v>
      </c>
      <c r="AK703">
        <v>1</v>
      </c>
      <c r="AL703" t="s">
        <v>11567</v>
      </c>
      <c r="AM703" t="s">
        <v>7930</v>
      </c>
      <c r="AN703" t="s">
        <v>11568</v>
      </c>
      <c r="AO703" t="s">
        <v>11569</v>
      </c>
      <c r="AP703" t="s">
        <v>11570</v>
      </c>
      <c r="AQ703" t="s">
        <v>74</v>
      </c>
      <c r="AR703" t="s">
        <v>11571</v>
      </c>
      <c r="AS703" t="s">
        <v>11572</v>
      </c>
      <c r="AT703" t="s">
        <v>11510</v>
      </c>
      <c r="AU703">
        <v>2007</v>
      </c>
      <c r="AV703">
        <v>39</v>
      </c>
      <c r="AW703">
        <v>4</v>
      </c>
      <c r="AX703" t="s">
        <v>74</v>
      </c>
      <c r="AY703" t="s">
        <v>74</v>
      </c>
      <c r="AZ703" t="s">
        <v>74</v>
      </c>
      <c r="BA703" t="s">
        <v>74</v>
      </c>
      <c r="BB703">
        <v>630</v>
      </c>
      <c r="BC703">
        <v>630</v>
      </c>
      <c r="BD703" t="s">
        <v>74</v>
      </c>
      <c r="BE703" t="s">
        <v>74</v>
      </c>
      <c r="BF703" t="s">
        <v>74</v>
      </c>
      <c r="BG703" t="s">
        <v>74</v>
      </c>
      <c r="BH703" t="s">
        <v>74</v>
      </c>
      <c r="BI703">
        <v>1</v>
      </c>
      <c r="BJ703" t="s">
        <v>11574</v>
      </c>
      <c r="BK703" t="s">
        <v>97</v>
      </c>
      <c r="BL703" t="s">
        <v>4449</v>
      </c>
      <c r="BM703" t="s">
        <v>11575</v>
      </c>
      <c r="BN703" t="s">
        <v>74</v>
      </c>
      <c r="BO703" t="s">
        <v>74</v>
      </c>
      <c r="BP703" t="s">
        <v>74</v>
      </c>
      <c r="BQ703" t="s">
        <v>74</v>
      </c>
      <c r="BR703" t="s">
        <v>100</v>
      </c>
      <c r="BS703" t="s">
        <v>11687</v>
      </c>
      <c r="BT703" t="str">
        <f>HYPERLINK("https%3A%2F%2Fwww.webofscience.com%2Fwos%2Fwoscc%2Ffull-record%2FWOS:000250962500012","View Full Record in Web of Science")</f>
        <v>View Full Record in Web of Science</v>
      </c>
    </row>
    <row r="704" spans="1:72" x14ac:dyDescent="0.15">
      <c r="A704" t="s">
        <v>72</v>
      </c>
      <c r="B704" t="s">
        <v>11688</v>
      </c>
      <c r="C704" t="s">
        <v>74</v>
      </c>
      <c r="D704" t="s">
        <v>74</v>
      </c>
      <c r="E704" t="s">
        <v>74</v>
      </c>
      <c r="F704" t="s">
        <v>11689</v>
      </c>
      <c r="G704" t="s">
        <v>74</v>
      </c>
      <c r="H704" t="s">
        <v>74</v>
      </c>
      <c r="I704" t="s">
        <v>11690</v>
      </c>
      <c r="J704" t="s">
        <v>11560</v>
      </c>
      <c r="K704" t="s">
        <v>74</v>
      </c>
      <c r="L704" t="s">
        <v>74</v>
      </c>
      <c r="M704" t="s">
        <v>78</v>
      </c>
      <c r="N704" t="s">
        <v>1602</v>
      </c>
      <c r="O704" t="s">
        <v>11691</v>
      </c>
      <c r="P704" t="s">
        <v>11692</v>
      </c>
      <c r="Q704" t="s">
        <v>11693</v>
      </c>
      <c r="R704" t="s">
        <v>74</v>
      </c>
      <c r="S704" t="s">
        <v>74</v>
      </c>
      <c r="T704" t="s">
        <v>74</v>
      </c>
      <c r="U704" t="s">
        <v>11694</v>
      </c>
      <c r="V704" t="s">
        <v>74</v>
      </c>
      <c r="W704" t="s">
        <v>11695</v>
      </c>
      <c r="X704" t="s">
        <v>11696</v>
      </c>
      <c r="Y704" t="s">
        <v>11697</v>
      </c>
      <c r="Z704" t="s">
        <v>11698</v>
      </c>
      <c r="AA704" t="s">
        <v>74</v>
      </c>
      <c r="AB704" t="s">
        <v>11699</v>
      </c>
      <c r="AC704" t="s">
        <v>74</v>
      </c>
      <c r="AD704" t="s">
        <v>74</v>
      </c>
      <c r="AE704" t="s">
        <v>74</v>
      </c>
      <c r="AF704" t="s">
        <v>74</v>
      </c>
      <c r="AG704">
        <v>23</v>
      </c>
      <c r="AH704">
        <v>40</v>
      </c>
      <c r="AI704">
        <v>43</v>
      </c>
      <c r="AJ704">
        <v>4</v>
      </c>
      <c r="AK704">
        <v>69</v>
      </c>
      <c r="AL704" t="s">
        <v>11567</v>
      </c>
      <c r="AM704" t="s">
        <v>7930</v>
      </c>
      <c r="AN704" t="s">
        <v>11568</v>
      </c>
      <c r="AO704" t="s">
        <v>11569</v>
      </c>
      <c r="AP704" t="s">
        <v>11570</v>
      </c>
      <c r="AQ704" t="s">
        <v>74</v>
      </c>
      <c r="AR704" t="s">
        <v>11571</v>
      </c>
      <c r="AS704" t="s">
        <v>11572</v>
      </c>
      <c r="AT704" t="s">
        <v>11510</v>
      </c>
      <c r="AU704">
        <v>2007</v>
      </c>
      <c r="AV704">
        <v>39</v>
      </c>
      <c r="AW704">
        <v>4</v>
      </c>
      <c r="AX704" t="s">
        <v>74</v>
      </c>
      <c r="AY704" t="s">
        <v>74</v>
      </c>
      <c r="AZ704" t="s">
        <v>74</v>
      </c>
      <c r="BA704" t="s">
        <v>74</v>
      </c>
      <c r="BB704">
        <v>631</v>
      </c>
      <c r="BC704">
        <v>634</v>
      </c>
      <c r="BD704" t="s">
        <v>74</v>
      </c>
      <c r="BE704" t="s">
        <v>11700</v>
      </c>
      <c r="BF704" t="str">
        <f>HYPERLINK("http://dx.doi.org/10.1657/1523-0430(07-513)[ZHANG]2.0.CO;2","http://dx.doi.org/10.1657/1523-0430(07-513)[ZHANG]2.0.CO;2")</f>
        <v>http://dx.doi.org/10.1657/1523-0430(07-513)[ZHANG]2.0.CO;2</v>
      </c>
      <c r="BG704" t="s">
        <v>74</v>
      </c>
      <c r="BH704" t="s">
        <v>74</v>
      </c>
      <c r="BI704">
        <v>4</v>
      </c>
      <c r="BJ704" t="s">
        <v>11574</v>
      </c>
      <c r="BK704" t="s">
        <v>1616</v>
      </c>
      <c r="BL704" t="s">
        <v>4449</v>
      </c>
      <c r="BM704" t="s">
        <v>11575</v>
      </c>
      <c r="BN704" t="s">
        <v>74</v>
      </c>
      <c r="BO704" t="s">
        <v>1050</v>
      </c>
      <c r="BP704" t="s">
        <v>74</v>
      </c>
      <c r="BQ704" t="s">
        <v>74</v>
      </c>
      <c r="BR704" t="s">
        <v>100</v>
      </c>
      <c r="BS704" t="s">
        <v>11701</v>
      </c>
      <c r="BT704" t="str">
        <f>HYPERLINK("https%3A%2F%2Fwww.webofscience.com%2Fwos%2Fwoscc%2Ffull-record%2FWOS:000250962500013","View Full Record in Web of Science")</f>
        <v>View Full Record in Web of Science</v>
      </c>
    </row>
    <row r="705" spans="1:72" x14ac:dyDescent="0.15">
      <c r="A705" t="s">
        <v>72</v>
      </c>
      <c r="B705" t="s">
        <v>11702</v>
      </c>
      <c r="C705" t="s">
        <v>74</v>
      </c>
      <c r="D705" t="s">
        <v>74</v>
      </c>
      <c r="E705" t="s">
        <v>74</v>
      </c>
      <c r="F705" t="s">
        <v>11703</v>
      </c>
      <c r="G705" t="s">
        <v>74</v>
      </c>
      <c r="H705" t="s">
        <v>74</v>
      </c>
      <c r="I705" t="s">
        <v>11704</v>
      </c>
      <c r="J705" t="s">
        <v>11560</v>
      </c>
      <c r="K705" t="s">
        <v>74</v>
      </c>
      <c r="L705" t="s">
        <v>74</v>
      </c>
      <c r="M705" t="s">
        <v>78</v>
      </c>
      <c r="N705" t="s">
        <v>1602</v>
      </c>
      <c r="O705" t="s">
        <v>11691</v>
      </c>
      <c r="P705" t="s">
        <v>11692</v>
      </c>
      <c r="Q705" t="s">
        <v>11693</v>
      </c>
      <c r="R705" t="s">
        <v>74</v>
      </c>
      <c r="S705" t="s">
        <v>74</v>
      </c>
      <c r="T705" t="s">
        <v>74</v>
      </c>
      <c r="U705" t="s">
        <v>11705</v>
      </c>
      <c r="V705" t="s">
        <v>11706</v>
      </c>
      <c r="W705" t="s">
        <v>11707</v>
      </c>
      <c r="X705" t="s">
        <v>11708</v>
      </c>
      <c r="Y705" t="s">
        <v>11709</v>
      </c>
      <c r="Z705" t="s">
        <v>11710</v>
      </c>
      <c r="AA705" t="s">
        <v>74</v>
      </c>
      <c r="AB705" t="s">
        <v>11699</v>
      </c>
      <c r="AC705" t="s">
        <v>74</v>
      </c>
      <c r="AD705" t="s">
        <v>74</v>
      </c>
      <c r="AE705" t="s">
        <v>74</v>
      </c>
      <c r="AF705" t="s">
        <v>74</v>
      </c>
      <c r="AG705">
        <v>21</v>
      </c>
      <c r="AH705">
        <v>45</v>
      </c>
      <c r="AI705">
        <v>51</v>
      </c>
      <c r="AJ705">
        <v>3</v>
      </c>
      <c r="AK705">
        <v>28</v>
      </c>
      <c r="AL705" t="s">
        <v>11567</v>
      </c>
      <c r="AM705" t="s">
        <v>7930</v>
      </c>
      <c r="AN705" t="s">
        <v>11568</v>
      </c>
      <c r="AO705" t="s">
        <v>11569</v>
      </c>
      <c r="AP705" t="s">
        <v>11570</v>
      </c>
      <c r="AQ705" t="s">
        <v>74</v>
      </c>
      <c r="AR705" t="s">
        <v>11571</v>
      </c>
      <c r="AS705" t="s">
        <v>11572</v>
      </c>
      <c r="AT705" t="s">
        <v>11510</v>
      </c>
      <c r="AU705">
        <v>2007</v>
      </c>
      <c r="AV705">
        <v>39</v>
      </c>
      <c r="AW705">
        <v>4</v>
      </c>
      <c r="AX705" t="s">
        <v>74</v>
      </c>
      <c r="AY705" t="s">
        <v>74</v>
      </c>
      <c r="AZ705" t="s">
        <v>74</v>
      </c>
      <c r="BA705" t="s">
        <v>74</v>
      </c>
      <c r="BB705">
        <v>635</v>
      </c>
      <c r="BC705">
        <v>641</v>
      </c>
      <c r="BD705" t="s">
        <v>74</v>
      </c>
      <c r="BE705" t="s">
        <v>11711</v>
      </c>
      <c r="BF705" t="str">
        <f>HYPERLINK("http://dx.doi.org/10.1657/1523-0430(07-501)[CHU]2.0.CO;2","http://dx.doi.org/10.1657/1523-0430(07-501)[CHU]2.0.CO;2")</f>
        <v>http://dx.doi.org/10.1657/1523-0430(07-501)[CHU]2.0.CO;2</v>
      </c>
      <c r="BG705" t="s">
        <v>74</v>
      </c>
      <c r="BH705" t="s">
        <v>74</v>
      </c>
      <c r="BI705">
        <v>7</v>
      </c>
      <c r="BJ705" t="s">
        <v>11574</v>
      </c>
      <c r="BK705" t="s">
        <v>1616</v>
      </c>
      <c r="BL705" t="s">
        <v>4449</v>
      </c>
      <c r="BM705" t="s">
        <v>11575</v>
      </c>
      <c r="BN705" t="s">
        <v>74</v>
      </c>
      <c r="BO705" t="s">
        <v>1050</v>
      </c>
      <c r="BP705" t="s">
        <v>74</v>
      </c>
      <c r="BQ705" t="s">
        <v>74</v>
      </c>
      <c r="BR705" t="s">
        <v>100</v>
      </c>
      <c r="BS705" t="s">
        <v>11712</v>
      </c>
      <c r="BT705" t="str">
        <f>HYPERLINK("https%3A%2F%2Fwww.webofscience.com%2Fwos%2Fwoscc%2Ffull-record%2FWOS:000250962500014","View Full Record in Web of Science")</f>
        <v>View Full Record in Web of Science</v>
      </c>
    </row>
    <row r="706" spans="1:72" x14ac:dyDescent="0.15">
      <c r="A706" t="s">
        <v>72</v>
      </c>
      <c r="B706" t="s">
        <v>11713</v>
      </c>
      <c r="C706" t="s">
        <v>74</v>
      </c>
      <c r="D706" t="s">
        <v>74</v>
      </c>
      <c r="E706" t="s">
        <v>74</v>
      </c>
      <c r="F706" t="s">
        <v>11714</v>
      </c>
      <c r="G706" t="s">
        <v>74</v>
      </c>
      <c r="H706" t="s">
        <v>74</v>
      </c>
      <c r="I706" t="s">
        <v>11715</v>
      </c>
      <c r="J706" t="s">
        <v>11560</v>
      </c>
      <c r="K706" t="s">
        <v>74</v>
      </c>
      <c r="L706" t="s">
        <v>74</v>
      </c>
      <c r="M706" t="s">
        <v>78</v>
      </c>
      <c r="N706" t="s">
        <v>1602</v>
      </c>
      <c r="O706" t="s">
        <v>11691</v>
      </c>
      <c r="P706" t="s">
        <v>11692</v>
      </c>
      <c r="Q706" t="s">
        <v>11693</v>
      </c>
      <c r="R706" t="s">
        <v>74</v>
      </c>
      <c r="S706" t="s">
        <v>74</v>
      </c>
      <c r="T706" t="s">
        <v>74</v>
      </c>
      <c r="U706" t="s">
        <v>11716</v>
      </c>
      <c r="V706" t="s">
        <v>11717</v>
      </c>
      <c r="W706" t="s">
        <v>11718</v>
      </c>
      <c r="X706" t="s">
        <v>11719</v>
      </c>
      <c r="Y706" t="s">
        <v>11720</v>
      </c>
      <c r="Z706" t="s">
        <v>11721</v>
      </c>
      <c r="AA706" t="s">
        <v>11722</v>
      </c>
      <c r="AB706" t="s">
        <v>11723</v>
      </c>
      <c r="AC706" t="s">
        <v>74</v>
      </c>
      <c r="AD706" t="s">
        <v>74</v>
      </c>
      <c r="AE706" t="s">
        <v>74</v>
      </c>
      <c r="AF706" t="s">
        <v>74</v>
      </c>
      <c r="AG706">
        <v>42</v>
      </c>
      <c r="AH706">
        <v>350</v>
      </c>
      <c r="AI706">
        <v>399</v>
      </c>
      <c r="AJ706">
        <v>9</v>
      </c>
      <c r="AK706">
        <v>245</v>
      </c>
      <c r="AL706" t="s">
        <v>1331</v>
      </c>
      <c r="AM706" t="s">
        <v>1421</v>
      </c>
      <c r="AN706" t="s">
        <v>2160</v>
      </c>
      <c r="AO706" t="s">
        <v>11569</v>
      </c>
      <c r="AP706" t="s">
        <v>11570</v>
      </c>
      <c r="AQ706" t="s">
        <v>74</v>
      </c>
      <c r="AR706" t="s">
        <v>11571</v>
      </c>
      <c r="AS706" t="s">
        <v>11572</v>
      </c>
      <c r="AT706" t="s">
        <v>11510</v>
      </c>
      <c r="AU706">
        <v>2007</v>
      </c>
      <c r="AV706">
        <v>39</v>
      </c>
      <c r="AW706">
        <v>4</v>
      </c>
      <c r="AX706" t="s">
        <v>74</v>
      </c>
      <c r="AY706" t="s">
        <v>74</v>
      </c>
      <c r="AZ706" t="s">
        <v>74</v>
      </c>
      <c r="BA706" t="s">
        <v>74</v>
      </c>
      <c r="BB706">
        <v>642</v>
      </c>
      <c r="BC706">
        <v>650</v>
      </c>
      <c r="BD706" t="s">
        <v>74</v>
      </c>
      <c r="BE706" t="s">
        <v>11724</v>
      </c>
      <c r="BF706" t="str">
        <f>HYPERLINK("http://dx.doi.org/10.1657/1523-0430(07-510)[YAO]2.0.CO;2","http://dx.doi.org/10.1657/1523-0430(07-510)[YAO]2.0.CO;2")</f>
        <v>http://dx.doi.org/10.1657/1523-0430(07-510)[YAO]2.0.CO;2</v>
      </c>
      <c r="BG706" t="s">
        <v>74</v>
      </c>
      <c r="BH706" t="s">
        <v>74</v>
      </c>
      <c r="BI706">
        <v>9</v>
      </c>
      <c r="BJ706" t="s">
        <v>11574</v>
      </c>
      <c r="BK706" t="s">
        <v>1616</v>
      </c>
      <c r="BL706" t="s">
        <v>4449</v>
      </c>
      <c r="BM706" t="s">
        <v>11575</v>
      </c>
      <c r="BN706" t="s">
        <v>74</v>
      </c>
      <c r="BO706" t="s">
        <v>1050</v>
      </c>
      <c r="BP706" t="s">
        <v>74</v>
      </c>
      <c r="BQ706" t="s">
        <v>74</v>
      </c>
      <c r="BR706" t="s">
        <v>100</v>
      </c>
      <c r="BS706" t="s">
        <v>11725</v>
      </c>
      <c r="BT706" t="str">
        <f>HYPERLINK("https%3A%2F%2Fwww.webofscience.com%2Fwos%2Fwoscc%2Ffull-record%2FWOS:000250962500015","View Full Record in Web of Science")</f>
        <v>View Full Record in Web of Science</v>
      </c>
    </row>
    <row r="707" spans="1:72" x14ac:dyDescent="0.15">
      <c r="A707" t="s">
        <v>72</v>
      </c>
      <c r="B707" t="s">
        <v>11726</v>
      </c>
      <c r="C707" t="s">
        <v>74</v>
      </c>
      <c r="D707" t="s">
        <v>74</v>
      </c>
      <c r="E707" t="s">
        <v>74</v>
      </c>
      <c r="F707" t="s">
        <v>11727</v>
      </c>
      <c r="G707" t="s">
        <v>74</v>
      </c>
      <c r="H707" t="s">
        <v>74</v>
      </c>
      <c r="I707" t="s">
        <v>11728</v>
      </c>
      <c r="J707" t="s">
        <v>11560</v>
      </c>
      <c r="K707" t="s">
        <v>74</v>
      </c>
      <c r="L707" t="s">
        <v>74</v>
      </c>
      <c r="M707" t="s">
        <v>78</v>
      </c>
      <c r="N707" t="s">
        <v>1602</v>
      </c>
      <c r="O707" t="s">
        <v>11691</v>
      </c>
      <c r="P707" t="s">
        <v>11692</v>
      </c>
      <c r="Q707" t="s">
        <v>11693</v>
      </c>
      <c r="R707" t="s">
        <v>74</v>
      </c>
      <c r="S707" t="s">
        <v>74</v>
      </c>
      <c r="T707" t="s">
        <v>74</v>
      </c>
      <c r="U707" t="s">
        <v>11729</v>
      </c>
      <c r="V707" t="s">
        <v>11730</v>
      </c>
      <c r="W707" t="s">
        <v>11731</v>
      </c>
      <c r="X707" t="s">
        <v>11732</v>
      </c>
      <c r="Y707" t="s">
        <v>11733</v>
      </c>
      <c r="Z707" t="s">
        <v>11734</v>
      </c>
      <c r="AA707" t="s">
        <v>11735</v>
      </c>
      <c r="AB707" t="s">
        <v>11736</v>
      </c>
      <c r="AC707" t="s">
        <v>74</v>
      </c>
      <c r="AD707" t="s">
        <v>74</v>
      </c>
      <c r="AE707" t="s">
        <v>74</v>
      </c>
      <c r="AF707" t="s">
        <v>74</v>
      </c>
      <c r="AG707">
        <v>35</v>
      </c>
      <c r="AH707">
        <v>48</v>
      </c>
      <c r="AI707">
        <v>67</v>
      </c>
      <c r="AJ707">
        <v>4</v>
      </c>
      <c r="AK707">
        <v>34</v>
      </c>
      <c r="AL707" t="s">
        <v>1331</v>
      </c>
      <c r="AM707" t="s">
        <v>1421</v>
      </c>
      <c r="AN707" t="s">
        <v>2160</v>
      </c>
      <c r="AO707" t="s">
        <v>11569</v>
      </c>
      <c r="AP707" t="s">
        <v>11570</v>
      </c>
      <c r="AQ707" t="s">
        <v>74</v>
      </c>
      <c r="AR707" t="s">
        <v>11571</v>
      </c>
      <c r="AS707" t="s">
        <v>11572</v>
      </c>
      <c r="AT707" t="s">
        <v>11510</v>
      </c>
      <c r="AU707">
        <v>2007</v>
      </c>
      <c r="AV707">
        <v>39</v>
      </c>
      <c r="AW707">
        <v>4</v>
      </c>
      <c r="AX707" t="s">
        <v>74</v>
      </c>
      <c r="AY707" t="s">
        <v>74</v>
      </c>
      <c r="AZ707" t="s">
        <v>74</v>
      </c>
      <c r="BA707" t="s">
        <v>74</v>
      </c>
      <c r="BB707">
        <v>651</v>
      </c>
      <c r="BC707">
        <v>657</v>
      </c>
      <c r="BD707" t="s">
        <v>74</v>
      </c>
      <c r="BE707" t="s">
        <v>11737</v>
      </c>
      <c r="BF707" t="str">
        <f>HYPERLINK("http://dx.doi.org/10.1657/1523-0430(07-506)[LIU-X]2.0.CO;2","http://dx.doi.org/10.1657/1523-0430(07-506)[LIU-X]2.0.CO;2")</f>
        <v>http://dx.doi.org/10.1657/1523-0430(07-506)[LIU-X]2.0.CO;2</v>
      </c>
      <c r="BG707" t="s">
        <v>74</v>
      </c>
      <c r="BH707" t="s">
        <v>74</v>
      </c>
      <c r="BI707">
        <v>7</v>
      </c>
      <c r="BJ707" t="s">
        <v>11574</v>
      </c>
      <c r="BK707" t="s">
        <v>1616</v>
      </c>
      <c r="BL707" t="s">
        <v>4449</v>
      </c>
      <c r="BM707" t="s">
        <v>11575</v>
      </c>
      <c r="BN707" t="s">
        <v>74</v>
      </c>
      <c r="BO707" t="s">
        <v>1050</v>
      </c>
      <c r="BP707" t="s">
        <v>74</v>
      </c>
      <c r="BQ707" t="s">
        <v>74</v>
      </c>
      <c r="BR707" t="s">
        <v>100</v>
      </c>
      <c r="BS707" t="s">
        <v>11738</v>
      </c>
      <c r="BT707" t="str">
        <f>HYPERLINK("https%3A%2F%2Fwww.webofscience.com%2Fwos%2Fwoscc%2Ffull-record%2FWOS:000250962500016","View Full Record in Web of Science")</f>
        <v>View Full Record in Web of Science</v>
      </c>
    </row>
    <row r="708" spans="1:72" x14ac:dyDescent="0.15">
      <c r="A708" t="s">
        <v>72</v>
      </c>
      <c r="B708" t="s">
        <v>11739</v>
      </c>
      <c r="C708" t="s">
        <v>74</v>
      </c>
      <c r="D708" t="s">
        <v>74</v>
      </c>
      <c r="E708" t="s">
        <v>74</v>
      </c>
      <c r="F708" t="s">
        <v>11740</v>
      </c>
      <c r="G708" t="s">
        <v>74</v>
      </c>
      <c r="H708" t="s">
        <v>74</v>
      </c>
      <c r="I708" t="s">
        <v>11741</v>
      </c>
      <c r="J708" t="s">
        <v>11560</v>
      </c>
      <c r="K708" t="s">
        <v>74</v>
      </c>
      <c r="L708" t="s">
        <v>74</v>
      </c>
      <c r="M708" t="s">
        <v>78</v>
      </c>
      <c r="N708" t="s">
        <v>1602</v>
      </c>
      <c r="O708" t="s">
        <v>11691</v>
      </c>
      <c r="P708" t="s">
        <v>11692</v>
      </c>
      <c r="Q708" t="s">
        <v>11693</v>
      </c>
      <c r="R708" t="s">
        <v>74</v>
      </c>
      <c r="S708" t="s">
        <v>74</v>
      </c>
      <c r="T708" t="s">
        <v>74</v>
      </c>
      <c r="U708" t="s">
        <v>11742</v>
      </c>
      <c r="V708" t="s">
        <v>11743</v>
      </c>
      <c r="W708" t="s">
        <v>11744</v>
      </c>
      <c r="X708" t="s">
        <v>11745</v>
      </c>
      <c r="Y708" t="s">
        <v>11746</v>
      </c>
      <c r="Z708" t="s">
        <v>11747</v>
      </c>
      <c r="AA708" t="s">
        <v>11748</v>
      </c>
      <c r="AB708" t="s">
        <v>74</v>
      </c>
      <c r="AC708" t="s">
        <v>74</v>
      </c>
      <c r="AD708" t="s">
        <v>74</v>
      </c>
      <c r="AE708" t="s">
        <v>74</v>
      </c>
      <c r="AF708" t="s">
        <v>74</v>
      </c>
      <c r="AG708">
        <v>27</v>
      </c>
      <c r="AH708">
        <v>6</v>
      </c>
      <c r="AI708">
        <v>8</v>
      </c>
      <c r="AJ708">
        <v>0</v>
      </c>
      <c r="AK708">
        <v>14</v>
      </c>
      <c r="AL708" t="s">
        <v>1331</v>
      </c>
      <c r="AM708" t="s">
        <v>1421</v>
      </c>
      <c r="AN708" t="s">
        <v>2160</v>
      </c>
      <c r="AO708" t="s">
        <v>11569</v>
      </c>
      <c r="AP708" t="s">
        <v>11570</v>
      </c>
      <c r="AQ708" t="s">
        <v>74</v>
      </c>
      <c r="AR708" t="s">
        <v>11571</v>
      </c>
      <c r="AS708" t="s">
        <v>11572</v>
      </c>
      <c r="AT708" t="s">
        <v>11510</v>
      </c>
      <c r="AU708">
        <v>2007</v>
      </c>
      <c r="AV708">
        <v>39</v>
      </c>
      <c r="AW708">
        <v>4</v>
      </c>
      <c r="AX708" t="s">
        <v>74</v>
      </c>
      <c r="AY708" t="s">
        <v>74</v>
      </c>
      <c r="AZ708" t="s">
        <v>74</v>
      </c>
      <c r="BA708" t="s">
        <v>74</v>
      </c>
      <c r="BB708">
        <v>658</v>
      </c>
      <c r="BC708">
        <v>662</v>
      </c>
      <c r="BD708" t="s">
        <v>74</v>
      </c>
      <c r="BE708" t="s">
        <v>11749</v>
      </c>
      <c r="BF708" t="str">
        <f>HYPERLINK("http://dx.doi.org/10.1657/1523-0430(07-512)[ZHU]2.0.CO;2","http://dx.doi.org/10.1657/1523-0430(07-512)[ZHU]2.0.CO;2")</f>
        <v>http://dx.doi.org/10.1657/1523-0430(07-512)[ZHU]2.0.CO;2</v>
      </c>
      <c r="BG708" t="s">
        <v>74</v>
      </c>
      <c r="BH708" t="s">
        <v>74</v>
      </c>
      <c r="BI708">
        <v>5</v>
      </c>
      <c r="BJ708" t="s">
        <v>11574</v>
      </c>
      <c r="BK708" t="s">
        <v>1616</v>
      </c>
      <c r="BL708" t="s">
        <v>4449</v>
      </c>
      <c r="BM708" t="s">
        <v>11575</v>
      </c>
      <c r="BN708" t="s">
        <v>74</v>
      </c>
      <c r="BO708" t="s">
        <v>1050</v>
      </c>
      <c r="BP708" t="s">
        <v>74</v>
      </c>
      <c r="BQ708" t="s">
        <v>74</v>
      </c>
      <c r="BR708" t="s">
        <v>100</v>
      </c>
      <c r="BS708" t="s">
        <v>11750</v>
      </c>
      <c r="BT708" t="str">
        <f>HYPERLINK("https%3A%2F%2Fwww.webofscience.com%2Fwos%2Fwoscc%2Ffull-record%2FWOS:000250962500017","View Full Record in Web of Science")</f>
        <v>View Full Record in Web of Science</v>
      </c>
    </row>
    <row r="709" spans="1:72" x14ac:dyDescent="0.15">
      <c r="A709" t="s">
        <v>72</v>
      </c>
      <c r="B709" t="s">
        <v>11751</v>
      </c>
      <c r="C709" t="s">
        <v>74</v>
      </c>
      <c r="D709" t="s">
        <v>74</v>
      </c>
      <c r="E709" t="s">
        <v>74</v>
      </c>
      <c r="F709" t="s">
        <v>11752</v>
      </c>
      <c r="G709" t="s">
        <v>74</v>
      </c>
      <c r="H709" t="s">
        <v>74</v>
      </c>
      <c r="I709" t="s">
        <v>11753</v>
      </c>
      <c r="J709" t="s">
        <v>11560</v>
      </c>
      <c r="K709" t="s">
        <v>74</v>
      </c>
      <c r="L709" t="s">
        <v>74</v>
      </c>
      <c r="M709" t="s">
        <v>78</v>
      </c>
      <c r="N709" t="s">
        <v>1602</v>
      </c>
      <c r="O709" t="s">
        <v>11691</v>
      </c>
      <c r="P709" t="s">
        <v>11692</v>
      </c>
      <c r="Q709" t="s">
        <v>11693</v>
      </c>
      <c r="R709" t="s">
        <v>74</v>
      </c>
      <c r="S709" t="s">
        <v>74</v>
      </c>
      <c r="T709" t="s">
        <v>74</v>
      </c>
      <c r="U709" t="s">
        <v>11754</v>
      </c>
      <c r="V709" t="s">
        <v>11755</v>
      </c>
      <c r="W709" t="s">
        <v>11756</v>
      </c>
      <c r="X709" t="s">
        <v>11757</v>
      </c>
      <c r="Y709" t="s">
        <v>11758</v>
      </c>
      <c r="Z709" t="s">
        <v>11759</v>
      </c>
      <c r="AA709" t="s">
        <v>11760</v>
      </c>
      <c r="AB709" t="s">
        <v>11761</v>
      </c>
      <c r="AC709" t="s">
        <v>11762</v>
      </c>
      <c r="AD709" t="s">
        <v>11763</v>
      </c>
      <c r="AE709" t="s">
        <v>74</v>
      </c>
      <c r="AF709" t="s">
        <v>74</v>
      </c>
      <c r="AG709">
        <v>35</v>
      </c>
      <c r="AH709">
        <v>24</v>
      </c>
      <c r="AI709">
        <v>29</v>
      </c>
      <c r="AJ709">
        <v>4</v>
      </c>
      <c r="AK709">
        <v>23</v>
      </c>
      <c r="AL709" t="s">
        <v>11567</v>
      </c>
      <c r="AM709" t="s">
        <v>7930</v>
      </c>
      <c r="AN709" t="s">
        <v>11568</v>
      </c>
      <c r="AO709" t="s">
        <v>11569</v>
      </c>
      <c r="AP709" t="s">
        <v>74</v>
      </c>
      <c r="AQ709" t="s">
        <v>74</v>
      </c>
      <c r="AR709" t="s">
        <v>11571</v>
      </c>
      <c r="AS709" t="s">
        <v>11572</v>
      </c>
      <c r="AT709" t="s">
        <v>11510</v>
      </c>
      <c r="AU709">
        <v>2007</v>
      </c>
      <c r="AV709">
        <v>39</v>
      </c>
      <c r="AW709">
        <v>4</v>
      </c>
      <c r="AX709" t="s">
        <v>74</v>
      </c>
      <c r="AY709" t="s">
        <v>74</v>
      </c>
      <c r="AZ709" t="s">
        <v>74</v>
      </c>
      <c r="BA709" t="s">
        <v>74</v>
      </c>
      <c r="BB709">
        <v>663</v>
      </c>
      <c r="BC709">
        <v>670</v>
      </c>
      <c r="BD709" t="s">
        <v>74</v>
      </c>
      <c r="BE709" t="s">
        <v>11764</v>
      </c>
      <c r="BF709" t="str">
        <f>HYPERLINK("http://dx.doi.org/10.1657/1523-0430(07503)[KANG]2.0.CO;2","http://dx.doi.org/10.1657/1523-0430(07503)[KANG]2.0.CO;2")</f>
        <v>http://dx.doi.org/10.1657/1523-0430(07503)[KANG]2.0.CO;2</v>
      </c>
      <c r="BG709" t="s">
        <v>74</v>
      </c>
      <c r="BH709" t="s">
        <v>74</v>
      </c>
      <c r="BI709">
        <v>8</v>
      </c>
      <c r="BJ709" t="s">
        <v>11574</v>
      </c>
      <c r="BK709" t="s">
        <v>8389</v>
      </c>
      <c r="BL709" t="s">
        <v>4449</v>
      </c>
      <c r="BM709" t="s">
        <v>11575</v>
      </c>
      <c r="BN709" t="s">
        <v>74</v>
      </c>
      <c r="BO709" t="s">
        <v>1050</v>
      </c>
      <c r="BP709" t="s">
        <v>74</v>
      </c>
      <c r="BQ709" t="s">
        <v>74</v>
      </c>
      <c r="BR709" t="s">
        <v>100</v>
      </c>
      <c r="BS709" t="s">
        <v>11765</v>
      </c>
      <c r="BT709" t="str">
        <f>HYPERLINK("https%3A%2F%2Fwww.webofscience.com%2Fwos%2Fwoscc%2Ffull-record%2FWOS:000250962500018","View Full Record in Web of Science")</f>
        <v>View Full Record in Web of Science</v>
      </c>
    </row>
    <row r="710" spans="1:72" x14ac:dyDescent="0.15">
      <c r="A710" t="s">
        <v>72</v>
      </c>
      <c r="B710" t="s">
        <v>11766</v>
      </c>
      <c r="C710" t="s">
        <v>74</v>
      </c>
      <c r="D710" t="s">
        <v>74</v>
      </c>
      <c r="E710" t="s">
        <v>74</v>
      </c>
      <c r="F710" t="s">
        <v>11767</v>
      </c>
      <c r="G710" t="s">
        <v>74</v>
      </c>
      <c r="H710" t="s">
        <v>74</v>
      </c>
      <c r="I710" t="s">
        <v>11768</v>
      </c>
      <c r="J710" t="s">
        <v>11560</v>
      </c>
      <c r="K710" t="s">
        <v>74</v>
      </c>
      <c r="L710" t="s">
        <v>74</v>
      </c>
      <c r="M710" t="s">
        <v>78</v>
      </c>
      <c r="N710" t="s">
        <v>1602</v>
      </c>
      <c r="O710" t="s">
        <v>11691</v>
      </c>
      <c r="P710" t="s">
        <v>11692</v>
      </c>
      <c r="Q710" t="s">
        <v>11693</v>
      </c>
      <c r="R710" t="s">
        <v>74</v>
      </c>
      <c r="S710" t="s">
        <v>74</v>
      </c>
      <c r="T710" t="s">
        <v>74</v>
      </c>
      <c r="U710" t="s">
        <v>11769</v>
      </c>
      <c r="V710" t="s">
        <v>11770</v>
      </c>
      <c r="W710" t="s">
        <v>11771</v>
      </c>
      <c r="X710" t="s">
        <v>11772</v>
      </c>
      <c r="Y710" t="s">
        <v>11773</v>
      </c>
      <c r="Z710" t="s">
        <v>11774</v>
      </c>
      <c r="AA710" t="s">
        <v>74</v>
      </c>
      <c r="AB710" t="s">
        <v>74</v>
      </c>
      <c r="AC710" t="s">
        <v>74</v>
      </c>
      <c r="AD710" t="s">
        <v>74</v>
      </c>
      <c r="AE710" t="s">
        <v>74</v>
      </c>
      <c r="AF710" t="s">
        <v>74</v>
      </c>
      <c r="AG710">
        <v>46</v>
      </c>
      <c r="AH710">
        <v>19</v>
      </c>
      <c r="AI710">
        <v>24</v>
      </c>
      <c r="AJ710">
        <v>0</v>
      </c>
      <c r="AK710">
        <v>40</v>
      </c>
      <c r="AL710" t="s">
        <v>11567</v>
      </c>
      <c r="AM710" t="s">
        <v>7930</v>
      </c>
      <c r="AN710" t="s">
        <v>11568</v>
      </c>
      <c r="AO710" t="s">
        <v>11569</v>
      </c>
      <c r="AP710" t="s">
        <v>11570</v>
      </c>
      <c r="AQ710" t="s">
        <v>74</v>
      </c>
      <c r="AR710" t="s">
        <v>11571</v>
      </c>
      <c r="AS710" t="s">
        <v>11572</v>
      </c>
      <c r="AT710" t="s">
        <v>11510</v>
      </c>
      <c r="AU710">
        <v>2007</v>
      </c>
      <c r="AV710">
        <v>39</v>
      </c>
      <c r="AW710">
        <v>4</v>
      </c>
      <c r="AX710" t="s">
        <v>74</v>
      </c>
      <c r="AY710" t="s">
        <v>74</v>
      </c>
      <c r="AZ710" t="s">
        <v>74</v>
      </c>
      <c r="BA710" t="s">
        <v>74</v>
      </c>
      <c r="BB710">
        <v>671</v>
      </c>
      <c r="BC710">
        <v>677</v>
      </c>
      <c r="BD710" t="s">
        <v>74</v>
      </c>
      <c r="BE710" t="s">
        <v>11775</v>
      </c>
      <c r="BF710" t="str">
        <f>HYPERLINK("http://dx.doi.org/10.1657/1523-0430(07-507)[WANG]2.0.CO;2","http://dx.doi.org/10.1657/1523-0430(07-507)[WANG]2.0.CO;2")</f>
        <v>http://dx.doi.org/10.1657/1523-0430(07-507)[WANG]2.0.CO;2</v>
      </c>
      <c r="BG710" t="s">
        <v>74</v>
      </c>
      <c r="BH710" t="s">
        <v>74</v>
      </c>
      <c r="BI710">
        <v>7</v>
      </c>
      <c r="BJ710" t="s">
        <v>11574</v>
      </c>
      <c r="BK710" t="s">
        <v>1616</v>
      </c>
      <c r="BL710" t="s">
        <v>4449</v>
      </c>
      <c r="BM710" t="s">
        <v>11575</v>
      </c>
      <c r="BN710" t="s">
        <v>74</v>
      </c>
      <c r="BO710" t="s">
        <v>1050</v>
      </c>
      <c r="BP710" t="s">
        <v>74</v>
      </c>
      <c r="BQ710" t="s">
        <v>74</v>
      </c>
      <c r="BR710" t="s">
        <v>100</v>
      </c>
      <c r="BS710" t="s">
        <v>11776</v>
      </c>
      <c r="BT710" t="str">
        <f>HYPERLINK("https%3A%2F%2Fwww.webofscience.com%2Fwos%2Fwoscc%2Ffull-record%2FWOS:000250962500019","View Full Record in Web of Science")</f>
        <v>View Full Record in Web of Science</v>
      </c>
    </row>
    <row r="711" spans="1:72" x14ac:dyDescent="0.15">
      <c r="A711" t="s">
        <v>72</v>
      </c>
      <c r="B711" t="s">
        <v>11777</v>
      </c>
      <c r="C711" t="s">
        <v>74</v>
      </c>
      <c r="D711" t="s">
        <v>74</v>
      </c>
      <c r="E711" t="s">
        <v>74</v>
      </c>
      <c r="F711" t="s">
        <v>11778</v>
      </c>
      <c r="G711" t="s">
        <v>74</v>
      </c>
      <c r="H711" t="s">
        <v>74</v>
      </c>
      <c r="I711" t="s">
        <v>11779</v>
      </c>
      <c r="J711" t="s">
        <v>11560</v>
      </c>
      <c r="K711" t="s">
        <v>74</v>
      </c>
      <c r="L711" t="s">
        <v>74</v>
      </c>
      <c r="M711" t="s">
        <v>78</v>
      </c>
      <c r="N711" t="s">
        <v>1602</v>
      </c>
      <c r="O711" t="s">
        <v>11691</v>
      </c>
      <c r="P711" t="s">
        <v>11692</v>
      </c>
      <c r="Q711" t="s">
        <v>11693</v>
      </c>
      <c r="R711" t="s">
        <v>74</v>
      </c>
      <c r="S711" t="s">
        <v>74</v>
      </c>
      <c r="T711" t="s">
        <v>74</v>
      </c>
      <c r="U711" t="s">
        <v>11780</v>
      </c>
      <c r="V711" t="s">
        <v>11781</v>
      </c>
      <c r="W711" t="s">
        <v>11782</v>
      </c>
      <c r="X711" t="s">
        <v>11783</v>
      </c>
      <c r="Y711" t="s">
        <v>11784</v>
      </c>
      <c r="Z711" t="s">
        <v>11785</v>
      </c>
      <c r="AA711" t="s">
        <v>74</v>
      </c>
      <c r="AB711" t="s">
        <v>74</v>
      </c>
      <c r="AC711" t="s">
        <v>74</v>
      </c>
      <c r="AD711" t="s">
        <v>74</v>
      </c>
      <c r="AE711" t="s">
        <v>74</v>
      </c>
      <c r="AF711" t="s">
        <v>74</v>
      </c>
      <c r="AG711">
        <v>18</v>
      </c>
      <c r="AH711">
        <v>4</v>
      </c>
      <c r="AI711">
        <v>5</v>
      </c>
      <c r="AJ711">
        <v>1</v>
      </c>
      <c r="AK711">
        <v>18</v>
      </c>
      <c r="AL711" t="s">
        <v>11567</v>
      </c>
      <c r="AM711" t="s">
        <v>7930</v>
      </c>
      <c r="AN711" t="s">
        <v>11568</v>
      </c>
      <c r="AO711" t="s">
        <v>11569</v>
      </c>
      <c r="AP711" t="s">
        <v>74</v>
      </c>
      <c r="AQ711" t="s">
        <v>74</v>
      </c>
      <c r="AR711" t="s">
        <v>11571</v>
      </c>
      <c r="AS711" t="s">
        <v>11572</v>
      </c>
      <c r="AT711" t="s">
        <v>11510</v>
      </c>
      <c r="AU711">
        <v>2007</v>
      </c>
      <c r="AV711">
        <v>39</v>
      </c>
      <c r="AW711">
        <v>4</v>
      </c>
      <c r="AX711" t="s">
        <v>74</v>
      </c>
      <c r="AY711" t="s">
        <v>74</v>
      </c>
      <c r="AZ711" t="s">
        <v>74</v>
      </c>
      <c r="BA711" t="s">
        <v>74</v>
      </c>
      <c r="BB711">
        <v>678</v>
      </c>
      <c r="BC711">
        <v>681</v>
      </c>
      <c r="BD711" t="s">
        <v>74</v>
      </c>
      <c r="BE711" t="s">
        <v>11786</v>
      </c>
      <c r="BF711" t="str">
        <f>HYPERLINK("http://dx.doi.org/10.1657/1523-0430(07-505)[LIU-G]2.0.CO;2","http://dx.doi.org/10.1657/1523-0430(07-505)[LIU-G]2.0.CO;2")</f>
        <v>http://dx.doi.org/10.1657/1523-0430(07-505)[LIU-G]2.0.CO;2</v>
      </c>
      <c r="BG711" t="s">
        <v>74</v>
      </c>
      <c r="BH711" t="s">
        <v>74</v>
      </c>
      <c r="BI711">
        <v>4</v>
      </c>
      <c r="BJ711" t="s">
        <v>11574</v>
      </c>
      <c r="BK711" t="s">
        <v>8389</v>
      </c>
      <c r="BL711" t="s">
        <v>4449</v>
      </c>
      <c r="BM711" t="s">
        <v>11575</v>
      </c>
      <c r="BN711" t="s">
        <v>74</v>
      </c>
      <c r="BO711" t="s">
        <v>1050</v>
      </c>
      <c r="BP711" t="s">
        <v>74</v>
      </c>
      <c r="BQ711" t="s">
        <v>74</v>
      </c>
      <c r="BR711" t="s">
        <v>100</v>
      </c>
      <c r="BS711" t="s">
        <v>11787</v>
      </c>
      <c r="BT711" t="str">
        <f>HYPERLINK("https%3A%2F%2Fwww.webofscience.com%2Fwos%2Fwoscc%2Ffull-record%2FWOS:000250962500020","View Full Record in Web of Science")</f>
        <v>View Full Record in Web of Science</v>
      </c>
    </row>
    <row r="712" spans="1:72" x14ac:dyDescent="0.15">
      <c r="A712" t="s">
        <v>72</v>
      </c>
      <c r="B712" t="s">
        <v>11788</v>
      </c>
      <c r="C712" t="s">
        <v>74</v>
      </c>
      <c r="D712" t="s">
        <v>74</v>
      </c>
      <c r="E712" t="s">
        <v>74</v>
      </c>
      <c r="F712" t="s">
        <v>11789</v>
      </c>
      <c r="G712" t="s">
        <v>74</v>
      </c>
      <c r="H712" t="s">
        <v>74</v>
      </c>
      <c r="I712" t="s">
        <v>11790</v>
      </c>
      <c r="J712" t="s">
        <v>11560</v>
      </c>
      <c r="K712" t="s">
        <v>74</v>
      </c>
      <c r="L712" t="s">
        <v>74</v>
      </c>
      <c r="M712" t="s">
        <v>78</v>
      </c>
      <c r="N712" t="s">
        <v>1602</v>
      </c>
      <c r="O712" t="s">
        <v>11691</v>
      </c>
      <c r="P712" t="s">
        <v>11692</v>
      </c>
      <c r="Q712" t="s">
        <v>11693</v>
      </c>
      <c r="R712" t="s">
        <v>74</v>
      </c>
      <c r="S712" t="s">
        <v>74</v>
      </c>
      <c r="T712" t="s">
        <v>74</v>
      </c>
      <c r="U712" t="s">
        <v>74</v>
      </c>
      <c r="V712" t="s">
        <v>11791</v>
      </c>
      <c r="W712" t="s">
        <v>11792</v>
      </c>
      <c r="X712" t="s">
        <v>11793</v>
      </c>
      <c r="Y712" t="s">
        <v>11794</v>
      </c>
      <c r="Z712" t="s">
        <v>11795</v>
      </c>
      <c r="AA712" t="s">
        <v>74</v>
      </c>
      <c r="AB712" t="s">
        <v>74</v>
      </c>
      <c r="AC712" t="s">
        <v>74</v>
      </c>
      <c r="AD712" t="s">
        <v>74</v>
      </c>
      <c r="AE712" t="s">
        <v>74</v>
      </c>
      <c r="AF712" t="s">
        <v>74</v>
      </c>
      <c r="AG712">
        <v>19</v>
      </c>
      <c r="AH712">
        <v>64</v>
      </c>
      <c r="AI712">
        <v>72</v>
      </c>
      <c r="AJ712">
        <v>4</v>
      </c>
      <c r="AK712">
        <v>33</v>
      </c>
      <c r="AL712" t="s">
        <v>1331</v>
      </c>
      <c r="AM712" t="s">
        <v>1421</v>
      </c>
      <c r="AN712" t="s">
        <v>2160</v>
      </c>
      <c r="AO712" t="s">
        <v>11569</v>
      </c>
      <c r="AP712" t="s">
        <v>11570</v>
      </c>
      <c r="AQ712" t="s">
        <v>74</v>
      </c>
      <c r="AR712" t="s">
        <v>11571</v>
      </c>
      <c r="AS712" t="s">
        <v>11572</v>
      </c>
      <c r="AT712" t="s">
        <v>11510</v>
      </c>
      <c r="AU712">
        <v>2007</v>
      </c>
      <c r="AV712">
        <v>39</v>
      </c>
      <c r="AW712">
        <v>4</v>
      </c>
      <c r="AX712" t="s">
        <v>74</v>
      </c>
      <c r="AY712" t="s">
        <v>74</v>
      </c>
      <c r="AZ712" t="s">
        <v>74</v>
      </c>
      <c r="BA712" t="s">
        <v>74</v>
      </c>
      <c r="BB712">
        <v>682</v>
      </c>
      <c r="BC712">
        <v>687</v>
      </c>
      <c r="BD712" t="s">
        <v>74</v>
      </c>
      <c r="BE712" t="s">
        <v>11796</v>
      </c>
      <c r="BF712" t="str">
        <f>HYPERLINK("http://dx.doi.org/10.1657/1523-0430(07-508)[WU]2.0.CO;2","http://dx.doi.org/10.1657/1523-0430(07-508)[WU]2.0.CO;2")</f>
        <v>http://dx.doi.org/10.1657/1523-0430(07-508)[WU]2.0.CO;2</v>
      </c>
      <c r="BG712" t="s">
        <v>74</v>
      </c>
      <c r="BH712" t="s">
        <v>74</v>
      </c>
      <c r="BI712">
        <v>6</v>
      </c>
      <c r="BJ712" t="s">
        <v>11574</v>
      </c>
      <c r="BK712" t="s">
        <v>1616</v>
      </c>
      <c r="BL712" t="s">
        <v>4449</v>
      </c>
      <c r="BM712" t="s">
        <v>11575</v>
      </c>
      <c r="BN712" t="s">
        <v>74</v>
      </c>
      <c r="BO712" t="s">
        <v>610</v>
      </c>
      <c r="BP712" t="s">
        <v>74</v>
      </c>
      <c r="BQ712" t="s">
        <v>74</v>
      </c>
      <c r="BR712" t="s">
        <v>100</v>
      </c>
      <c r="BS712" t="s">
        <v>11797</v>
      </c>
      <c r="BT712" t="str">
        <f>HYPERLINK("https%3A%2F%2Fwww.webofscience.com%2Fwos%2Fwoscc%2Ffull-record%2FWOS:000250962500021","View Full Record in Web of Science")</f>
        <v>View Full Record in Web of Science</v>
      </c>
    </row>
    <row r="713" spans="1:72" x14ac:dyDescent="0.15">
      <c r="A713" t="s">
        <v>72</v>
      </c>
      <c r="B713" t="s">
        <v>11798</v>
      </c>
      <c r="C713" t="s">
        <v>74</v>
      </c>
      <c r="D713" t="s">
        <v>74</v>
      </c>
      <c r="E713" t="s">
        <v>74</v>
      </c>
      <c r="F713" t="s">
        <v>11799</v>
      </c>
      <c r="G713" t="s">
        <v>74</v>
      </c>
      <c r="H713" t="s">
        <v>74</v>
      </c>
      <c r="I713" t="s">
        <v>11800</v>
      </c>
      <c r="J713" t="s">
        <v>11560</v>
      </c>
      <c r="K713" t="s">
        <v>74</v>
      </c>
      <c r="L713" t="s">
        <v>74</v>
      </c>
      <c r="M713" t="s">
        <v>78</v>
      </c>
      <c r="N713" t="s">
        <v>1602</v>
      </c>
      <c r="O713" t="s">
        <v>11691</v>
      </c>
      <c r="P713" t="s">
        <v>11692</v>
      </c>
      <c r="Q713" t="s">
        <v>11693</v>
      </c>
      <c r="R713" t="s">
        <v>74</v>
      </c>
      <c r="S713" t="s">
        <v>74</v>
      </c>
      <c r="T713" t="s">
        <v>74</v>
      </c>
      <c r="U713" t="s">
        <v>11801</v>
      </c>
      <c r="V713" t="s">
        <v>11802</v>
      </c>
      <c r="W713" t="s">
        <v>11803</v>
      </c>
      <c r="X713" t="s">
        <v>11804</v>
      </c>
      <c r="Y713" t="s">
        <v>11805</v>
      </c>
      <c r="Z713" t="s">
        <v>11806</v>
      </c>
      <c r="AA713" t="s">
        <v>11807</v>
      </c>
      <c r="AB713" t="s">
        <v>11723</v>
      </c>
      <c r="AC713" t="s">
        <v>74</v>
      </c>
      <c r="AD713" t="s">
        <v>74</v>
      </c>
      <c r="AE713" t="s">
        <v>74</v>
      </c>
      <c r="AF713" t="s">
        <v>74</v>
      </c>
      <c r="AG713">
        <v>26</v>
      </c>
      <c r="AH713">
        <v>46</v>
      </c>
      <c r="AI713">
        <v>56</v>
      </c>
      <c r="AJ713">
        <v>2</v>
      </c>
      <c r="AK713">
        <v>50</v>
      </c>
      <c r="AL713" t="s">
        <v>11567</v>
      </c>
      <c r="AM713" t="s">
        <v>7930</v>
      </c>
      <c r="AN713" t="s">
        <v>11568</v>
      </c>
      <c r="AO713" t="s">
        <v>11569</v>
      </c>
      <c r="AP713" t="s">
        <v>11570</v>
      </c>
      <c r="AQ713" t="s">
        <v>74</v>
      </c>
      <c r="AR713" t="s">
        <v>11571</v>
      </c>
      <c r="AS713" t="s">
        <v>11572</v>
      </c>
      <c r="AT713" t="s">
        <v>11510</v>
      </c>
      <c r="AU713">
        <v>2007</v>
      </c>
      <c r="AV713">
        <v>39</v>
      </c>
      <c r="AW713">
        <v>4</v>
      </c>
      <c r="AX713" t="s">
        <v>74</v>
      </c>
      <c r="AY713" t="s">
        <v>74</v>
      </c>
      <c r="AZ713" t="s">
        <v>74</v>
      </c>
      <c r="BA713" t="s">
        <v>74</v>
      </c>
      <c r="BB713">
        <v>688</v>
      </c>
      <c r="BC713">
        <v>693</v>
      </c>
      <c r="BD713" t="s">
        <v>74</v>
      </c>
      <c r="BE713" t="s">
        <v>11808</v>
      </c>
      <c r="BF713" t="str">
        <f>HYPERLINK("http://dx.doi.org/10.1657/1523-0430(07-511)[YU]2.0.CO;2","http://dx.doi.org/10.1657/1523-0430(07-511)[YU]2.0.CO;2")</f>
        <v>http://dx.doi.org/10.1657/1523-0430(07-511)[YU]2.0.CO;2</v>
      </c>
      <c r="BG713" t="s">
        <v>74</v>
      </c>
      <c r="BH713" t="s">
        <v>74</v>
      </c>
      <c r="BI713">
        <v>6</v>
      </c>
      <c r="BJ713" t="s">
        <v>11574</v>
      </c>
      <c r="BK713" t="s">
        <v>1616</v>
      </c>
      <c r="BL713" t="s">
        <v>4449</v>
      </c>
      <c r="BM713" t="s">
        <v>11575</v>
      </c>
      <c r="BN713" t="s">
        <v>74</v>
      </c>
      <c r="BO713" t="s">
        <v>1838</v>
      </c>
      <c r="BP713" t="s">
        <v>74</v>
      </c>
      <c r="BQ713" t="s">
        <v>74</v>
      </c>
      <c r="BR713" t="s">
        <v>100</v>
      </c>
      <c r="BS713" t="s">
        <v>11809</v>
      </c>
      <c r="BT713" t="str">
        <f>HYPERLINK("https%3A%2F%2Fwww.webofscience.com%2Fwos%2Fwoscc%2Ffull-record%2FWOS:000250962500022","View Full Record in Web of Science")</f>
        <v>View Full Record in Web of Science</v>
      </c>
    </row>
    <row r="714" spans="1:72" x14ac:dyDescent="0.15">
      <c r="A714" t="s">
        <v>72</v>
      </c>
      <c r="B714" t="s">
        <v>11810</v>
      </c>
      <c r="C714" t="s">
        <v>74</v>
      </c>
      <c r="D714" t="s">
        <v>74</v>
      </c>
      <c r="E714" t="s">
        <v>74</v>
      </c>
      <c r="F714" t="s">
        <v>11811</v>
      </c>
      <c r="G714" t="s">
        <v>74</v>
      </c>
      <c r="H714" t="s">
        <v>74</v>
      </c>
      <c r="I714" t="s">
        <v>11812</v>
      </c>
      <c r="J714" t="s">
        <v>11560</v>
      </c>
      <c r="K714" t="s">
        <v>74</v>
      </c>
      <c r="L714" t="s">
        <v>74</v>
      </c>
      <c r="M714" t="s">
        <v>78</v>
      </c>
      <c r="N714" t="s">
        <v>1602</v>
      </c>
      <c r="O714" t="s">
        <v>11691</v>
      </c>
      <c r="P714" t="s">
        <v>11692</v>
      </c>
      <c r="Q714" t="s">
        <v>11693</v>
      </c>
      <c r="R714" t="s">
        <v>74</v>
      </c>
      <c r="S714" t="s">
        <v>74</v>
      </c>
      <c r="T714" t="s">
        <v>74</v>
      </c>
      <c r="U714" t="s">
        <v>11813</v>
      </c>
      <c r="V714" t="s">
        <v>11814</v>
      </c>
      <c r="W714" t="s">
        <v>11815</v>
      </c>
      <c r="X714" t="s">
        <v>11816</v>
      </c>
      <c r="Y714" t="s">
        <v>11817</v>
      </c>
      <c r="Z714" t="s">
        <v>11818</v>
      </c>
      <c r="AA714" t="s">
        <v>74</v>
      </c>
      <c r="AB714" t="s">
        <v>74</v>
      </c>
      <c r="AC714" t="s">
        <v>74</v>
      </c>
      <c r="AD714" t="s">
        <v>74</v>
      </c>
      <c r="AE714" t="s">
        <v>74</v>
      </c>
      <c r="AF714" t="s">
        <v>74</v>
      </c>
      <c r="AG714">
        <v>22</v>
      </c>
      <c r="AH714">
        <v>17</v>
      </c>
      <c r="AI714">
        <v>20</v>
      </c>
      <c r="AJ714">
        <v>2</v>
      </c>
      <c r="AK714">
        <v>28</v>
      </c>
      <c r="AL714" t="s">
        <v>11567</v>
      </c>
      <c r="AM714" t="s">
        <v>7930</v>
      </c>
      <c r="AN714" t="s">
        <v>11568</v>
      </c>
      <c r="AO714" t="s">
        <v>11569</v>
      </c>
      <c r="AP714" t="s">
        <v>74</v>
      </c>
      <c r="AQ714" t="s">
        <v>74</v>
      </c>
      <c r="AR714" t="s">
        <v>11571</v>
      </c>
      <c r="AS714" t="s">
        <v>11572</v>
      </c>
      <c r="AT714" t="s">
        <v>11510</v>
      </c>
      <c r="AU714">
        <v>2007</v>
      </c>
      <c r="AV714">
        <v>39</v>
      </c>
      <c r="AW714">
        <v>4</v>
      </c>
      <c r="AX714" t="s">
        <v>74</v>
      </c>
      <c r="AY714" t="s">
        <v>74</v>
      </c>
      <c r="AZ714" t="s">
        <v>74</v>
      </c>
      <c r="BA714" t="s">
        <v>74</v>
      </c>
      <c r="BB714">
        <v>694</v>
      </c>
      <c r="BC714">
        <v>698</v>
      </c>
      <c r="BD714" t="s">
        <v>74</v>
      </c>
      <c r="BE714" t="s">
        <v>11819</v>
      </c>
      <c r="BF714" t="str">
        <f>HYPERLINK("http://dx.doi.org/10.1657/1523-0430(07-509)[YANG]2.0.CO;2","http://dx.doi.org/10.1657/1523-0430(07-509)[YANG]2.0.CO;2")</f>
        <v>http://dx.doi.org/10.1657/1523-0430(07-509)[YANG]2.0.CO;2</v>
      </c>
      <c r="BG714" t="s">
        <v>74</v>
      </c>
      <c r="BH714" t="s">
        <v>74</v>
      </c>
      <c r="BI714">
        <v>5</v>
      </c>
      <c r="BJ714" t="s">
        <v>11574</v>
      </c>
      <c r="BK714" t="s">
        <v>8389</v>
      </c>
      <c r="BL714" t="s">
        <v>4449</v>
      </c>
      <c r="BM714" t="s">
        <v>11575</v>
      </c>
      <c r="BN714" t="s">
        <v>74</v>
      </c>
      <c r="BO714" t="s">
        <v>1050</v>
      </c>
      <c r="BP714" t="s">
        <v>74</v>
      </c>
      <c r="BQ714" t="s">
        <v>74</v>
      </c>
      <c r="BR714" t="s">
        <v>100</v>
      </c>
      <c r="BS714" t="s">
        <v>11820</v>
      </c>
      <c r="BT714" t="str">
        <f>HYPERLINK("https%3A%2F%2Fwww.webofscience.com%2Fwos%2Fwoscc%2Ffull-record%2FWOS:000250962500023","View Full Record in Web of Science")</f>
        <v>View Full Record in Web of Science</v>
      </c>
    </row>
    <row r="715" spans="1:72" x14ac:dyDescent="0.15">
      <c r="A715" t="s">
        <v>72</v>
      </c>
      <c r="B715" t="s">
        <v>11821</v>
      </c>
      <c r="C715" t="s">
        <v>74</v>
      </c>
      <c r="D715" t="s">
        <v>74</v>
      </c>
      <c r="E715" t="s">
        <v>74</v>
      </c>
      <c r="F715" t="s">
        <v>11822</v>
      </c>
      <c r="G715" t="s">
        <v>74</v>
      </c>
      <c r="H715" t="s">
        <v>74</v>
      </c>
      <c r="I715" t="s">
        <v>11823</v>
      </c>
      <c r="J715" t="s">
        <v>11560</v>
      </c>
      <c r="K715" t="s">
        <v>74</v>
      </c>
      <c r="L715" t="s">
        <v>74</v>
      </c>
      <c r="M715" t="s">
        <v>78</v>
      </c>
      <c r="N715" t="s">
        <v>1602</v>
      </c>
      <c r="O715" t="s">
        <v>11691</v>
      </c>
      <c r="P715" t="s">
        <v>11692</v>
      </c>
      <c r="Q715" t="s">
        <v>11693</v>
      </c>
      <c r="R715" t="s">
        <v>74</v>
      </c>
      <c r="S715" t="s">
        <v>74</v>
      </c>
      <c r="T715" t="s">
        <v>74</v>
      </c>
      <c r="U715" t="s">
        <v>74</v>
      </c>
      <c r="V715" t="s">
        <v>11824</v>
      </c>
      <c r="W715" t="s">
        <v>11825</v>
      </c>
      <c r="X715" t="s">
        <v>11826</v>
      </c>
      <c r="Y715" t="s">
        <v>11827</v>
      </c>
      <c r="Z715" t="s">
        <v>11828</v>
      </c>
      <c r="AA715" t="s">
        <v>74</v>
      </c>
      <c r="AB715" t="s">
        <v>74</v>
      </c>
      <c r="AC715" t="s">
        <v>74</v>
      </c>
      <c r="AD715" t="s">
        <v>74</v>
      </c>
      <c r="AE715" t="s">
        <v>74</v>
      </c>
      <c r="AF715" t="s">
        <v>74</v>
      </c>
      <c r="AG715">
        <v>13</v>
      </c>
      <c r="AH715">
        <v>13</v>
      </c>
      <c r="AI715">
        <v>14</v>
      </c>
      <c r="AJ715">
        <v>0</v>
      </c>
      <c r="AK715">
        <v>11</v>
      </c>
      <c r="AL715" t="s">
        <v>11567</v>
      </c>
      <c r="AM715" t="s">
        <v>7930</v>
      </c>
      <c r="AN715" t="s">
        <v>11568</v>
      </c>
      <c r="AO715" t="s">
        <v>11569</v>
      </c>
      <c r="AP715" t="s">
        <v>74</v>
      </c>
      <c r="AQ715" t="s">
        <v>74</v>
      </c>
      <c r="AR715" t="s">
        <v>11571</v>
      </c>
      <c r="AS715" t="s">
        <v>11572</v>
      </c>
      <c r="AT715" t="s">
        <v>11510</v>
      </c>
      <c r="AU715">
        <v>2007</v>
      </c>
      <c r="AV715">
        <v>39</v>
      </c>
      <c r="AW715">
        <v>4</v>
      </c>
      <c r="AX715" t="s">
        <v>74</v>
      </c>
      <c r="AY715" t="s">
        <v>74</v>
      </c>
      <c r="AZ715" t="s">
        <v>74</v>
      </c>
      <c r="BA715" t="s">
        <v>74</v>
      </c>
      <c r="BB715">
        <v>699</v>
      </c>
      <c r="BC715">
        <v>707</v>
      </c>
      <c r="BD715" t="s">
        <v>74</v>
      </c>
      <c r="BE715" t="s">
        <v>11829</v>
      </c>
      <c r="BF715" t="str">
        <f>HYPERLINK("http://dx.doi.org/10.1657/1523-0430(07-500)[CHEN]2.0.CO;2","http://dx.doi.org/10.1657/1523-0430(07-500)[CHEN]2.0.CO;2")</f>
        <v>http://dx.doi.org/10.1657/1523-0430(07-500)[CHEN]2.0.CO;2</v>
      </c>
      <c r="BG715" t="s">
        <v>74</v>
      </c>
      <c r="BH715" t="s">
        <v>74</v>
      </c>
      <c r="BI715">
        <v>9</v>
      </c>
      <c r="BJ715" t="s">
        <v>11574</v>
      </c>
      <c r="BK715" t="s">
        <v>8389</v>
      </c>
      <c r="BL715" t="s">
        <v>4449</v>
      </c>
      <c r="BM715" t="s">
        <v>11575</v>
      </c>
      <c r="BN715" t="s">
        <v>74</v>
      </c>
      <c r="BO715" t="s">
        <v>74</v>
      </c>
      <c r="BP715" t="s">
        <v>74</v>
      </c>
      <c r="BQ715" t="s">
        <v>74</v>
      </c>
      <c r="BR715" t="s">
        <v>100</v>
      </c>
      <c r="BS715" t="s">
        <v>11830</v>
      </c>
      <c r="BT715" t="str">
        <f>HYPERLINK("https%3A%2F%2Fwww.webofscience.com%2Fwos%2Fwoscc%2Ffull-record%2FWOS:000250962500024","View Full Record in Web of Science")</f>
        <v>View Full Record in Web of Science</v>
      </c>
    </row>
    <row r="716" spans="1:72" x14ac:dyDescent="0.15">
      <c r="A716" t="s">
        <v>72</v>
      </c>
      <c r="B716" t="s">
        <v>11831</v>
      </c>
      <c r="C716" t="s">
        <v>74</v>
      </c>
      <c r="D716" t="s">
        <v>74</v>
      </c>
      <c r="E716" t="s">
        <v>74</v>
      </c>
      <c r="F716" t="s">
        <v>11832</v>
      </c>
      <c r="G716" t="s">
        <v>74</v>
      </c>
      <c r="H716" t="s">
        <v>74</v>
      </c>
      <c r="I716" t="s">
        <v>11833</v>
      </c>
      <c r="J716" t="s">
        <v>11560</v>
      </c>
      <c r="K716" t="s">
        <v>74</v>
      </c>
      <c r="L716" t="s">
        <v>74</v>
      </c>
      <c r="M716" t="s">
        <v>78</v>
      </c>
      <c r="N716" t="s">
        <v>1602</v>
      </c>
      <c r="O716" t="s">
        <v>11691</v>
      </c>
      <c r="P716" t="s">
        <v>11692</v>
      </c>
      <c r="Q716" t="s">
        <v>11693</v>
      </c>
      <c r="R716" t="s">
        <v>74</v>
      </c>
      <c r="S716" t="s">
        <v>74</v>
      </c>
      <c r="T716" t="s">
        <v>74</v>
      </c>
      <c r="U716" t="s">
        <v>74</v>
      </c>
      <c r="V716" t="s">
        <v>11834</v>
      </c>
      <c r="W716" t="s">
        <v>11835</v>
      </c>
      <c r="X716" t="s">
        <v>11836</v>
      </c>
      <c r="Y716" t="s">
        <v>11837</v>
      </c>
      <c r="Z716" t="s">
        <v>11838</v>
      </c>
      <c r="AA716" t="s">
        <v>74</v>
      </c>
      <c r="AB716" t="s">
        <v>74</v>
      </c>
      <c r="AC716" t="s">
        <v>74</v>
      </c>
      <c r="AD716" t="s">
        <v>74</v>
      </c>
      <c r="AE716" t="s">
        <v>74</v>
      </c>
      <c r="AF716" t="s">
        <v>74</v>
      </c>
      <c r="AG716">
        <v>17</v>
      </c>
      <c r="AH716">
        <v>15</v>
      </c>
      <c r="AI716">
        <v>19</v>
      </c>
      <c r="AJ716">
        <v>0</v>
      </c>
      <c r="AK716">
        <v>21</v>
      </c>
      <c r="AL716" t="s">
        <v>11567</v>
      </c>
      <c r="AM716" t="s">
        <v>7930</v>
      </c>
      <c r="AN716" t="s">
        <v>11568</v>
      </c>
      <c r="AO716" t="s">
        <v>11569</v>
      </c>
      <c r="AP716" t="s">
        <v>74</v>
      </c>
      <c r="AQ716" t="s">
        <v>74</v>
      </c>
      <c r="AR716" t="s">
        <v>11571</v>
      </c>
      <c r="AS716" t="s">
        <v>11572</v>
      </c>
      <c r="AT716" t="s">
        <v>11510</v>
      </c>
      <c r="AU716">
        <v>2007</v>
      </c>
      <c r="AV716">
        <v>39</v>
      </c>
      <c r="AW716">
        <v>4</v>
      </c>
      <c r="AX716" t="s">
        <v>74</v>
      </c>
      <c r="AY716" t="s">
        <v>74</v>
      </c>
      <c r="AZ716" t="s">
        <v>74</v>
      </c>
      <c r="BA716" t="s">
        <v>74</v>
      </c>
      <c r="BB716">
        <v>708</v>
      </c>
      <c r="BC716">
        <v>713</v>
      </c>
      <c r="BD716" t="s">
        <v>74</v>
      </c>
      <c r="BE716" t="s">
        <v>11839</v>
      </c>
      <c r="BF716" t="str">
        <f>HYPERLINK("http://dx.doi.org/10.1657/1523-0430(07-504)[LI]2.0.CO;2","http://dx.doi.org/10.1657/1523-0430(07-504)[LI]2.0.CO;2")</f>
        <v>http://dx.doi.org/10.1657/1523-0430(07-504)[LI]2.0.CO;2</v>
      </c>
      <c r="BG716" t="s">
        <v>74</v>
      </c>
      <c r="BH716" t="s">
        <v>74</v>
      </c>
      <c r="BI716">
        <v>6</v>
      </c>
      <c r="BJ716" t="s">
        <v>11574</v>
      </c>
      <c r="BK716" t="s">
        <v>8389</v>
      </c>
      <c r="BL716" t="s">
        <v>4449</v>
      </c>
      <c r="BM716" t="s">
        <v>11575</v>
      </c>
      <c r="BN716" t="s">
        <v>74</v>
      </c>
      <c r="BO716" t="s">
        <v>313</v>
      </c>
      <c r="BP716" t="s">
        <v>74</v>
      </c>
      <c r="BQ716" t="s">
        <v>74</v>
      </c>
      <c r="BR716" t="s">
        <v>100</v>
      </c>
      <c r="BS716" t="s">
        <v>11840</v>
      </c>
      <c r="BT716" t="str">
        <f>HYPERLINK("https%3A%2F%2Fwww.webofscience.com%2Fwos%2Fwoscc%2Ffull-record%2FWOS:000250962500025","View Full Record in Web of Science")</f>
        <v>View Full Record in Web of Science</v>
      </c>
    </row>
    <row r="717" spans="1:72" x14ac:dyDescent="0.15">
      <c r="A717" t="s">
        <v>72</v>
      </c>
      <c r="B717" t="s">
        <v>11841</v>
      </c>
      <c r="C717" t="s">
        <v>74</v>
      </c>
      <c r="D717" t="s">
        <v>74</v>
      </c>
      <c r="E717" t="s">
        <v>74</v>
      </c>
      <c r="F717" t="s">
        <v>11842</v>
      </c>
      <c r="G717" t="s">
        <v>74</v>
      </c>
      <c r="H717" t="s">
        <v>74</v>
      </c>
      <c r="I717" t="s">
        <v>11843</v>
      </c>
      <c r="J717" t="s">
        <v>11560</v>
      </c>
      <c r="K717" t="s">
        <v>74</v>
      </c>
      <c r="L717" t="s">
        <v>74</v>
      </c>
      <c r="M717" t="s">
        <v>78</v>
      </c>
      <c r="N717" t="s">
        <v>1602</v>
      </c>
      <c r="O717" t="s">
        <v>11691</v>
      </c>
      <c r="P717" t="s">
        <v>11692</v>
      </c>
      <c r="Q717" t="s">
        <v>11693</v>
      </c>
      <c r="R717" t="s">
        <v>74</v>
      </c>
      <c r="S717" t="s">
        <v>74</v>
      </c>
      <c r="T717" t="s">
        <v>74</v>
      </c>
      <c r="U717" t="s">
        <v>11844</v>
      </c>
      <c r="V717" t="s">
        <v>11845</v>
      </c>
      <c r="W717" t="s">
        <v>11846</v>
      </c>
      <c r="X717" t="s">
        <v>11847</v>
      </c>
      <c r="Y717" t="s">
        <v>11848</v>
      </c>
      <c r="Z717" t="s">
        <v>74</v>
      </c>
      <c r="AA717" t="s">
        <v>11849</v>
      </c>
      <c r="AB717" t="s">
        <v>11699</v>
      </c>
      <c r="AC717" t="s">
        <v>74</v>
      </c>
      <c r="AD717" t="s">
        <v>74</v>
      </c>
      <c r="AE717" t="s">
        <v>74</v>
      </c>
      <c r="AF717" t="s">
        <v>74</v>
      </c>
      <c r="AG717">
        <v>51</v>
      </c>
      <c r="AH717">
        <v>36</v>
      </c>
      <c r="AI717">
        <v>40</v>
      </c>
      <c r="AJ717">
        <v>0</v>
      </c>
      <c r="AK717">
        <v>34</v>
      </c>
      <c r="AL717" t="s">
        <v>1331</v>
      </c>
      <c r="AM717" t="s">
        <v>1421</v>
      </c>
      <c r="AN717" t="s">
        <v>2160</v>
      </c>
      <c r="AO717" t="s">
        <v>11569</v>
      </c>
      <c r="AP717" t="s">
        <v>11570</v>
      </c>
      <c r="AQ717" t="s">
        <v>74</v>
      </c>
      <c r="AR717" t="s">
        <v>11571</v>
      </c>
      <c r="AS717" t="s">
        <v>11572</v>
      </c>
      <c r="AT717" t="s">
        <v>11510</v>
      </c>
      <c r="AU717">
        <v>2007</v>
      </c>
      <c r="AV717">
        <v>39</v>
      </c>
      <c r="AW717">
        <v>4</v>
      </c>
      <c r="AX717" t="s">
        <v>74</v>
      </c>
      <c r="AY717" t="s">
        <v>74</v>
      </c>
      <c r="AZ717" t="s">
        <v>74</v>
      </c>
      <c r="BA717" t="s">
        <v>74</v>
      </c>
      <c r="BB717">
        <v>714</v>
      </c>
      <c r="BC717">
        <v>722</v>
      </c>
      <c r="BD717" t="s">
        <v>74</v>
      </c>
      <c r="BE717" t="s">
        <v>11850</v>
      </c>
      <c r="BF717" t="str">
        <f>HYPERLINK("http://dx.doi.org/10.1657/1523-0430(06-200)[OELKE]2.0.CO;2","http://dx.doi.org/10.1657/1523-0430(06-200)[OELKE]2.0.CO;2")</f>
        <v>http://dx.doi.org/10.1657/1523-0430(06-200)[OELKE]2.0.CO;2</v>
      </c>
      <c r="BG717" t="s">
        <v>74</v>
      </c>
      <c r="BH717" t="s">
        <v>74</v>
      </c>
      <c r="BI717">
        <v>9</v>
      </c>
      <c r="BJ717" t="s">
        <v>11574</v>
      </c>
      <c r="BK717" t="s">
        <v>1616</v>
      </c>
      <c r="BL717" t="s">
        <v>4449</v>
      </c>
      <c r="BM717" t="s">
        <v>11575</v>
      </c>
      <c r="BN717" t="s">
        <v>74</v>
      </c>
      <c r="BO717" t="s">
        <v>1050</v>
      </c>
      <c r="BP717" t="s">
        <v>74</v>
      </c>
      <c r="BQ717" t="s">
        <v>74</v>
      </c>
      <c r="BR717" t="s">
        <v>100</v>
      </c>
      <c r="BS717" t="s">
        <v>11851</v>
      </c>
      <c r="BT717" t="str">
        <f>HYPERLINK("https%3A%2F%2Fwww.webofscience.com%2Fwos%2Fwoscc%2Ffull-record%2FWOS:000250962500026","View Full Record in Web of Science")</f>
        <v>View Full Record in Web of Science</v>
      </c>
    </row>
    <row r="718" spans="1:72" x14ac:dyDescent="0.15">
      <c r="A718" t="s">
        <v>72</v>
      </c>
      <c r="B718" t="s">
        <v>11852</v>
      </c>
      <c r="C718" t="s">
        <v>74</v>
      </c>
      <c r="D718" t="s">
        <v>74</v>
      </c>
      <c r="E718" t="s">
        <v>74</v>
      </c>
      <c r="F718" t="s">
        <v>11853</v>
      </c>
      <c r="G718" t="s">
        <v>74</v>
      </c>
      <c r="H718" t="s">
        <v>74</v>
      </c>
      <c r="I718" t="s">
        <v>11854</v>
      </c>
      <c r="J718" t="s">
        <v>11560</v>
      </c>
      <c r="K718" t="s">
        <v>74</v>
      </c>
      <c r="L718" t="s">
        <v>74</v>
      </c>
      <c r="M718" t="s">
        <v>78</v>
      </c>
      <c r="N718" t="s">
        <v>1602</v>
      </c>
      <c r="O718" t="s">
        <v>11691</v>
      </c>
      <c r="P718" t="s">
        <v>11692</v>
      </c>
      <c r="Q718" t="s">
        <v>11693</v>
      </c>
      <c r="R718" t="s">
        <v>74</v>
      </c>
      <c r="S718" t="s">
        <v>74</v>
      </c>
      <c r="T718" t="s">
        <v>74</v>
      </c>
      <c r="U718" t="s">
        <v>11855</v>
      </c>
      <c r="V718" t="s">
        <v>11856</v>
      </c>
      <c r="W718" t="s">
        <v>11857</v>
      </c>
      <c r="X718" t="s">
        <v>11858</v>
      </c>
      <c r="Y718" t="s">
        <v>11859</v>
      </c>
      <c r="Z718" t="s">
        <v>11860</v>
      </c>
      <c r="AA718" t="s">
        <v>11849</v>
      </c>
      <c r="AB718" t="s">
        <v>11699</v>
      </c>
      <c r="AC718" t="s">
        <v>74</v>
      </c>
      <c r="AD718" t="s">
        <v>74</v>
      </c>
      <c r="AE718" t="s">
        <v>74</v>
      </c>
      <c r="AF718" t="s">
        <v>74</v>
      </c>
      <c r="AG718">
        <v>22</v>
      </c>
      <c r="AH718">
        <v>2</v>
      </c>
      <c r="AI718">
        <v>2</v>
      </c>
      <c r="AJ718">
        <v>1</v>
      </c>
      <c r="AK718">
        <v>15</v>
      </c>
      <c r="AL718" t="s">
        <v>1331</v>
      </c>
      <c r="AM718" t="s">
        <v>1421</v>
      </c>
      <c r="AN718" t="s">
        <v>2160</v>
      </c>
      <c r="AO718" t="s">
        <v>11569</v>
      </c>
      <c r="AP718" t="s">
        <v>11570</v>
      </c>
      <c r="AQ718" t="s">
        <v>74</v>
      </c>
      <c r="AR718" t="s">
        <v>11571</v>
      </c>
      <c r="AS718" t="s">
        <v>11572</v>
      </c>
      <c r="AT718" t="s">
        <v>11510</v>
      </c>
      <c r="AU718">
        <v>2007</v>
      </c>
      <c r="AV718">
        <v>39</v>
      </c>
      <c r="AW718">
        <v>4</v>
      </c>
      <c r="AX718" t="s">
        <v>74</v>
      </c>
      <c r="AY718" t="s">
        <v>74</v>
      </c>
      <c r="AZ718" t="s">
        <v>74</v>
      </c>
      <c r="BA718" t="s">
        <v>74</v>
      </c>
      <c r="BB718">
        <v>723</v>
      </c>
      <c r="BC718">
        <v>731</v>
      </c>
      <c r="BD718" t="s">
        <v>74</v>
      </c>
      <c r="BE718" t="s">
        <v>11861</v>
      </c>
      <c r="BF718" t="str">
        <f>HYPERLINK("http://dx.doi.org/10.1657/1523-0430(07-502)[FAN]2.0.CO;2","http://dx.doi.org/10.1657/1523-0430(07-502)[FAN]2.0.CO;2")</f>
        <v>http://dx.doi.org/10.1657/1523-0430(07-502)[FAN]2.0.CO;2</v>
      </c>
      <c r="BG718" t="s">
        <v>74</v>
      </c>
      <c r="BH718" t="s">
        <v>74</v>
      </c>
      <c r="BI718">
        <v>9</v>
      </c>
      <c r="BJ718" t="s">
        <v>11574</v>
      </c>
      <c r="BK718" t="s">
        <v>1616</v>
      </c>
      <c r="BL718" t="s">
        <v>4449</v>
      </c>
      <c r="BM718" t="s">
        <v>11575</v>
      </c>
      <c r="BN718" t="s">
        <v>74</v>
      </c>
      <c r="BO718" t="s">
        <v>1838</v>
      </c>
      <c r="BP718" t="s">
        <v>74</v>
      </c>
      <c r="BQ718" t="s">
        <v>74</v>
      </c>
      <c r="BR718" t="s">
        <v>100</v>
      </c>
      <c r="BS718" t="s">
        <v>11862</v>
      </c>
      <c r="BT718" t="str">
        <f>HYPERLINK("https%3A%2F%2Fwww.webofscience.com%2Fwos%2Fwoscc%2Ffull-record%2FWOS:000250962500027","View Full Record in Web of Science")</f>
        <v>View Full Record in Web of Science</v>
      </c>
    </row>
    <row r="719" spans="1:72" x14ac:dyDescent="0.15">
      <c r="A719" t="s">
        <v>72</v>
      </c>
      <c r="B719" t="s">
        <v>11863</v>
      </c>
      <c r="C719" t="s">
        <v>74</v>
      </c>
      <c r="D719" t="s">
        <v>74</v>
      </c>
      <c r="E719" t="s">
        <v>74</v>
      </c>
      <c r="F719" t="s">
        <v>11864</v>
      </c>
      <c r="G719" t="s">
        <v>74</v>
      </c>
      <c r="H719" t="s">
        <v>74</v>
      </c>
      <c r="I719" t="s">
        <v>11865</v>
      </c>
      <c r="J719" t="s">
        <v>11866</v>
      </c>
      <c r="K719" t="s">
        <v>74</v>
      </c>
      <c r="L719" t="s">
        <v>74</v>
      </c>
      <c r="M719" t="s">
        <v>78</v>
      </c>
      <c r="N719" t="s">
        <v>79</v>
      </c>
      <c r="O719" t="s">
        <v>74</v>
      </c>
      <c r="P719" t="s">
        <v>74</v>
      </c>
      <c r="Q719" t="s">
        <v>74</v>
      </c>
      <c r="R719" t="s">
        <v>74</v>
      </c>
      <c r="S719" t="s">
        <v>74</v>
      </c>
      <c r="T719" t="s">
        <v>11867</v>
      </c>
      <c r="U719" t="s">
        <v>11868</v>
      </c>
      <c r="V719" t="s">
        <v>11869</v>
      </c>
      <c r="W719" t="s">
        <v>11870</v>
      </c>
      <c r="X719" t="s">
        <v>11871</v>
      </c>
      <c r="Y719" t="s">
        <v>11872</v>
      </c>
      <c r="Z719" t="s">
        <v>11873</v>
      </c>
      <c r="AA719" t="s">
        <v>11874</v>
      </c>
      <c r="AB719" t="s">
        <v>11875</v>
      </c>
      <c r="AC719" t="s">
        <v>11876</v>
      </c>
      <c r="AD719" t="s">
        <v>242</v>
      </c>
      <c r="AE719" t="s">
        <v>74</v>
      </c>
      <c r="AF719" t="s">
        <v>74</v>
      </c>
      <c r="AG719">
        <v>35</v>
      </c>
      <c r="AH719">
        <v>26</v>
      </c>
      <c r="AI719">
        <v>31</v>
      </c>
      <c r="AJ719">
        <v>0</v>
      </c>
      <c r="AK719">
        <v>22</v>
      </c>
      <c r="AL719" t="s">
        <v>521</v>
      </c>
      <c r="AM719" t="s">
        <v>522</v>
      </c>
      <c r="AN719" t="s">
        <v>523</v>
      </c>
      <c r="AO719" t="s">
        <v>11877</v>
      </c>
      <c r="AP719" t="s">
        <v>74</v>
      </c>
      <c r="AQ719" t="s">
        <v>74</v>
      </c>
      <c r="AR719" t="s">
        <v>11878</v>
      </c>
      <c r="AS719" t="s">
        <v>11879</v>
      </c>
      <c r="AT719" t="s">
        <v>11510</v>
      </c>
      <c r="AU719">
        <v>2007</v>
      </c>
      <c r="AV719">
        <v>41</v>
      </c>
      <c r="AW719">
        <v>36</v>
      </c>
      <c r="AX719" t="s">
        <v>74</v>
      </c>
      <c r="AY719" t="s">
        <v>74</v>
      </c>
      <c r="AZ719" t="s">
        <v>74</v>
      </c>
      <c r="BA719" t="s">
        <v>74</v>
      </c>
      <c r="BB719">
        <v>7806</v>
      </c>
      <c r="BC719">
        <v>7820</v>
      </c>
      <c r="BD719" t="s">
        <v>74</v>
      </c>
      <c r="BE719" t="s">
        <v>11880</v>
      </c>
      <c r="BF719" t="str">
        <f>HYPERLINK("http://dx.doi.org/10.1016/j.atmosenv.2007.06.014","http://dx.doi.org/10.1016/j.atmosenv.2007.06.014")</f>
        <v>http://dx.doi.org/10.1016/j.atmosenv.2007.06.014</v>
      </c>
      <c r="BG719" t="s">
        <v>74</v>
      </c>
      <c r="BH719" t="s">
        <v>74</v>
      </c>
      <c r="BI719">
        <v>15</v>
      </c>
      <c r="BJ719" t="s">
        <v>2186</v>
      </c>
      <c r="BK719" t="s">
        <v>97</v>
      </c>
      <c r="BL719" t="s">
        <v>2187</v>
      </c>
      <c r="BM719" t="s">
        <v>11881</v>
      </c>
      <c r="BN719" t="s">
        <v>74</v>
      </c>
      <c r="BO719" t="s">
        <v>74</v>
      </c>
      <c r="BP719" t="s">
        <v>74</v>
      </c>
      <c r="BQ719" t="s">
        <v>74</v>
      </c>
      <c r="BR719" t="s">
        <v>100</v>
      </c>
      <c r="BS719" t="s">
        <v>11882</v>
      </c>
      <c r="BT719" t="str">
        <f>HYPERLINK("https%3A%2F%2Fwww.webofscience.com%2Fwos%2Fwoscc%2Ffull-record%2FWOS:000251829500010","View Full Record in Web of Science")</f>
        <v>View Full Record in Web of Science</v>
      </c>
    </row>
    <row r="720" spans="1:72" x14ac:dyDescent="0.15">
      <c r="A720" t="s">
        <v>72</v>
      </c>
      <c r="B720" t="s">
        <v>11883</v>
      </c>
      <c r="C720" t="s">
        <v>74</v>
      </c>
      <c r="D720" t="s">
        <v>74</v>
      </c>
      <c r="E720" t="s">
        <v>74</v>
      </c>
      <c r="F720" t="s">
        <v>11884</v>
      </c>
      <c r="G720" t="s">
        <v>74</v>
      </c>
      <c r="H720" t="s">
        <v>74</v>
      </c>
      <c r="I720" t="s">
        <v>11885</v>
      </c>
      <c r="J720" t="s">
        <v>11886</v>
      </c>
      <c r="K720" t="s">
        <v>74</v>
      </c>
      <c r="L720" t="s">
        <v>74</v>
      </c>
      <c r="M720" t="s">
        <v>78</v>
      </c>
      <c r="N720" t="s">
        <v>79</v>
      </c>
      <c r="O720" t="s">
        <v>74</v>
      </c>
      <c r="P720" t="s">
        <v>74</v>
      </c>
      <c r="Q720" t="s">
        <v>74</v>
      </c>
      <c r="R720" t="s">
        <v>74</v>
      </c>
      <c r="S720" t="s">
        <v>74</v>
      </c>
      <c r="T720" t="s">
        <v>11887</v>
      </c>
      <c r="U720" t="s">
        <v>11888</v>
      </c>
      <c r="V720" t="s">
        <v>11889</v>
      </c>
      <c r="W720" t="s">
        <v>11890</v>
      </c>
      <c r="X720" t="s">
        <v>11891</v>
      </c>
      <c r="Y720" t="s">
        <v>6066</v>
      </c>
      <c r="Z720" t="s">
        <v>9800</v>
      </c>
      <c r="AA720" t="s">
        <v>6068</v>
      </c>
      <c r="AB720" t="s">
        <v>74</v>
      </c>
      <c r="AC720" t="s">
        <v>74</v>
      </c>
      <c r="AD720" t="s">
        <v>74</v>
      </c>
      <c r="AE720" t="s">
        <v>74</v>
      </c>
      <c r="AF720" t="s">
        <v>74</v>
      </c>
      <c r="AG720">
        <v>49</v>
      </c>
      <c r="AH720">
        <v>43</v>
      </c>
      <c r="AI720">
        <v>47</v>
      </c>
      <c r="AJ720">
        <v>0</v>
      </c>
      <c r="AK720">
        <v>11</v>
      </c>
      <c r="AL720" t="s">
        <v>11892</v>
      </c>
      <c r="AM720" t="s">
        <v>11893</v>
      </c>
      <c r="AN720" t="s">
        <v>11894</v>
      </c>
      <c r="AO720" t="s">
        <v>11895</v>
      </c>
      <c r="AP720" t="s">
        <v>11896</v>
      </c>
      <c r="AQ720" t="s">
        <v>74</v>
      </c>
      <c r="AR720" t="s">
        <v>11886</v>
      </c>
      <c r="AS720" t="s">
        <v>11897</v>
      </c>
      <c r="AT720" t="s">
        <v>11510</v>
      </c>
      <c r="AU720">
        <v>2007</v>
      </c>
      <c r="AV720">
        <v>144</v>
      </c>
      <c r="AW720" t="s">
        <v>74</v>
      </c>
      <c r="AX720">
        <v>11</v>
      </c>
      <c r="AY720" t="s">
        <v>74</v>
      </c>
      <c r="AZ720" t="s">
        <v>74</v>
      </c>
      <c r="BA720" t="s">
        <v>74</v>
      </c>
      <c r="BB720">
        <v>1315</v>
      </c>
      <c r="BC720">
        <v>1332</v>
      </c>
      <c r="BD720" t="s">
        <v>74</v>
      </c>
      <c r="BE720" t="s">
        <v>11898</v>
      </c>
      <c r="BF720" t="str">
        <f>HYPERLINK("http://dx.doi.org/10.1163/156853907782418213","http://dx.doi.org/10.1163/156853907782418213")</f>
        <v>http://dx.doi.org/10.1163/156853907782418213</v>
      </c>
      <c r="BG720" t="s">
        <v>74</v>
      </c>
      <c r="BH720" t="s">
        <v>74</v>
      </c>
      <c r="BI720">
        <v>18</v>
      </c>
      <c r="BJ720" t="s">
        <v>1516</v>
      </c>
      <c r="BK720" t="s">
        <v>97</v>
      </c>
      <c r="BL720" t="s">
        <v>1516</v>
      </c>
      <c r="BM720" t="s">
        <v>11899</v>
      </c>
      <c r="BN720" t="s">
        <v>74</v>
      </c>
      <c r="BO720" t="s">
        <v>74</v>
      </c>
      <c r="BP720" t="s">
        <v>74</v>
      </c>
      <c r="BQ720" t="s">
        <v>74</v>
      </c>
      <c r="BR720" t="s">
        <v>100</v>
      </c>
      <c r="BS720" t="s">
        <v>11900</v>
      </c>
      <c r="BT720" t="str">
        <f>HYPERLINK("https%3A%2F%2Fwww.webofscience.com%2Fwos%2Fwoscc%2Ffull-record%2FWOS:000251018500001","View Full Record in Web of Science")</f>
        <v>View Full Record in Web of Science</v>
      </c>
    </row>
    <row r="721" spans="1:72" x14ac:dyDescent="0.15">
      <c r="A721" t="s">
        <v>72</v>
      </c>
      <c r="B721" t="s">
        <v>11901</v>
      </c>
      <c r="C721" t="s">
        <v>74</v>
      </c>
      <c r="D721" t="s">
        <v>74</v>
      </c>
      <c r="E721" t="s">
        <v>74</v>
      </c>
      <c r="F721" t="s">
        <v>11902</v>
      </c>
      <c r="G721" t="s">
        <v>74</v>
      </c>
      <c r="H721" t="s">
        <v>74</v>
      </c>
      <c r="I721" t="s">
        <v>11903</v>
      </c>
      <c r="J721" t="s">
        <v>11904</v>
      </c>
      <c r="K721" t="s">
        <v>74</v>
      </c>
      <c r="L721" t="s">
        <v>74</v>
      </c>
      <c r="M721" t="s">
        <v>78</v>
      </c>
      <c r="N721" t="s">
        <v>79</v>
      </c>
      <c r="O721" t="s">
        <v>74</v>
      </c>
      <c r="P721" t="s">
        <v>74</v>
      </c>
      <c r="Q721" t="s">
        <v>74</v>
      </c>
      <c r="R721" t="s">
        <v>74</v>
      </c>
      <c r="S721" t="s">
        <v>74</v>
      </c>
      <c r="T721" t="s">
        <v>74</v>
      </c>
      <c r="U721" t="s">
        <v>11905</v>
      </c>
      <c r="V721" t="s">
        <v>11906</v>
      </c>
      <c r="W721" t="s">
        <v>11907</v>
      </c>
      <c r="X721" t="s">
        <v>11908</v>
      </c>
      <c r="Y721" t="s">
        <v>11909</v>
      </c>
      <c r="Z721" t="s">
        <v>11910</v>
      </c>
      <c r="AA721" t="s">
        <v>11911</v>
      </c>
      <c r="AB721" t="s">
        <v>11912</v>
      </c>
      <c r="AC721" t="s">
        <v>6055</v>
      </c>
      <c r="AD721" t="s">
        <v>444</v>
      </c>
      <c r="AE721" t="s">
        <v>74</v>
      </c>
      <c r="AF721" t="s">
        <v>74</v>
      </c>
      <c r="AG721">
        <v>75</v>
      </c>
      <c r="AH721">
        <v>87</v>
      </c>
      <c r="AI721">
        <v>97</v>
      </c>
      <c r="AJ721">
        <v>0</v>
      </c>
      <c r="AK721">
        <v>81</v>
      </c>
      <c r="AL721" t="s">
        <v>9801</v>
      </c>
      <c r="AM721" t="s">
        <v>9802</v>
      </c>
      <c r="AN721" t="s">
        <v>9803</v>
      </c>
      <c r="AO721" t="s">
        <v>11913</v>
      </c>
      <c r="AP721" t="s">
        <v>11914</v>
      </c>
      <c r="AQ721" t="s">
        <v>74</v>
      </c>
      <c r="AR721" t="s">
        <v>11915</v>
      </c>
      <c r="AS721" t="s">
        <v>11916</v>
      </c>
      <c r="AT721" t="s">
        <v>11510</v>
      </c>
      <c r="AU721">
        <v>2007</v>
      </c>
      <c r="AV721">
        <v>64</v>
      </c>
      <c r="AW721">
        <v>11</v>
      </c>
      <c r="AX721" t="s">
        <v>74</v>
      </c>
      <c r="AY721" t="s">
        <v>74</v>
      </c>
      <c r="AZ721" t="s">
        <v>74</v>
      </c>
      <c r="BA721" t="s">
        <v>74</v>
      </c>
      <c r="BB721">
        <v>1628</v>
      </c>
      <c r="BC721">
        <v>1639</v>
      </c>
      <c r="BD721" t="s">
        <v>74</v>
      </c>
      <c r="BE721" t="s">
        <v>11917</v>
      </c>
      <c r="BF721" t="str">
        <f>HYPERLINK("http://dx.doi.org/10.1139/F07-122","http://dx.doi.org/10.1139/F07-122")</f>
        <v>http://dx.doi.org/10.1139/F07-122</v>
      </c>
      <c r="BG721" t="s">
        <v>74</v>
      </c>
      <c r="BH721" t="s">
        <v>74</v>
      </c>
      <c r="BI721">
        <v>12</v>
      </c>
      <c r="BJ721" t="s">
        <v>5346</v>
      </c>
      <c r="BK721" t="s">
        <v>97</v>
      </c>
      <c r="BL721" t="s">
        <v>5346</v>
      </c>
      <c r="BM721" t="s">
        <v>11918</v>
      </c>
      <c r="BN721" t="s">
        <v>74</v>
      </c>
      <c r="BO721" t="s">
        <v>3777</v>
      </c>
      <c r="BP721" t="s">
        <v>74</v>
      </c>
      <c r="BQ721" t="s">
        <v>74</v>
      </c>
      <c r="BR721" t="s">
        <v>100</v>
      </c>
      <c r="BS721" t="s">
        <v>11919</v>
      </c>
      <c r="BT721" t="str">
        <f>HYPERLINK("https%3A%2F%2Fwww.webofscience.com%2Fwos%2Fwoscc%2Ffull-record%2FWOS:000251595100015","View Full Record in Web of Science")</f>
        <v>View Full Record in Web of Science</v>
      </c>
    </row>
    <row r="722" spans="1:72" x14ac:dyDescent="0.15">
      <c r="A722" t="s">
        <v>72</v>
      </c>
      <c r="B722" t="s">
        <v>11920</v>
      </c>
      <c r="C722" t="s">
        <v>74</v>
      </c>
      <c r="D722" t="s">
        <v>74</v>
      </c>
      <c r="E722" t="s">
        <v>74</v>
      </c>
      <c r="F722" t="s">
        <v>11921</v>
      </c>
      <c r="G722" t="s">
        <v>74</v>
      </c>
      <c r="H722" t="s">
        <v>74</v>
      </c>
      <c r="I722" t="s">
        <v>11922</v>
      </c>
      <c r="J722" t="s">
        <v>11923</v>
      </c>
      <c r="K722" t="s">
        <v>74</v>
      </c>
      <c r="L722" t="s">
        <v>74</v>
      </c>
      <c r="M722" t="s">
        <v>78</v>
      </c>
      <c r="N722" t="s">
        <v>79</v>
      </c>
      <c r="O722" t="s">
        <v>74</v>
      </c>
      <c r="P722" t="s">
        <v>74</v>
      </c>
      <c r="Q722" t="s">
        <v>74</v>
      </c>
      <c r="R722" t="s">
        <v>74</v>
      </c>
      <c r="S722" t="s">
        <v>74</v>
      </c>
      <c r="T722" t="s">
        <v>74</v>
      </c>
      <c r="U722" t="s">
        <v>11924</v>
      </c>
      <c r="V722" t="s">
        <v>11925</v>
      </c>
      <c r="W722" t="s">
        <v>11926</v>
      </c>
      <c r="X722" t="s">
        <v>11927</v>
      </c>
      <c r="Y722" t="s">
        <v>11928</v>
      </c>
      <c r="Z722" t="s">
        <v>11929</v>
      </c>
      <c r="AA722" t="s">
        <v>11930</v>
      </c>
      <c r="AB722" t="s">
        <v>11931</v>
      </c>
      <c r="AC722" t="s">
        <v>74</v>
      </c>
      <c r="AD722" t="s">
        <v>74</v>
      </c>
      <c r="AE722" t="s">
        <v>74</v>
      </c>
      <c r="AF722" t="s">
        <v>74</v>
      </c>
      <c r="AG722">
        <v>14</v>
      </c>
      <c r="AH722">
        <v>1</v>
      </c>
      <c r="AI722">
        <v>1</v>
      </c>
      <c r="AJ722">
        <v>1</v>
      </c>
      <c r="AK722">
        <v>5</v>
      </c>
      <c r="AL722" t="s">
        <v>9801</v>
      </c>
      <c r="AM722" t="s">
        <v>9802</v>
      </c>
      <c r="AN722" t="s">
        <v>11932</v>
      </c>
      <c r="AO722" t="s">
        <v>11933</v>
      </c>
      <c r="AP722" t="s">
        <v>74</v>
      </c>
      <c r="AQ722" t="s">
        <v>74</v>
      </c>
      <c r="AR722" t="s">
        <v>11934</v>
      </c>
      <c r="AS722" t="s">
        <v>11935</v>
      </c>
      <c r="AT722" t="s">
        <v>11510</v>
      </c>
      <c r="AU722">
        <v>2007</v>
      </c>
      <c r="AV722">
        <v>85</v>
      </c>
      <c r="AW722">
        <v>11</v>
      </c>
      <c r="AX722" t="s">
        <v>74</v>
      </c>
      <c r="AY722" t="s">
        <v>74</v>
      </c>
      <c r="AZ722" t="s">
        <v>74</v>
      </c>
      <c r="BA722" t="s">
        <v>74</v>
      </c>
      <c r="BB722">
        <v>1195</v>
      </c>
      <c r="BC722">
        <v>1207</v>
      </c>
      <c r="BD722" t="s">
        <v>74</v>
      </c>
      <c r="BE722" t="s">
        <v>11936</v>
      </c>
      <c r="BF722" t="str">
        <f>HYPERLINK("http://dx.doi.org/10.1139/P07-123","http://dx.doi.org/10.1139/P07-123")</f>
        <v>http://dx.doi.org/10.1139/P07-123</v>
      </c>
      <c r="BG722" t="s">
        <v>74</v>
      </c>
      <c r="BH722" t="s">
        <v>74</v>
      </c>
      <c r="BI722">
        <v>13</v>
      </c>
      <c r="BJ722" t="s">
        <v>812</v>
      </c>
      <c r="BK722" t="s">
        <v>97</v>
      </c>
      <c r="BL722" t="s">
        <v>813</v>
      </c>
      <c r="BM722" t="s">
        <v>11937</v>
      </c>
      <c r="BN722" t="s">
        <v>74</v>
      </c>
      <c r="BO722" t="s">
        <v>74</v>
      </c>
      <c r="BP722" t="s">
        <v>74</v>
      </c>
      <c r="BQ722" t="s">
        <v>74</v>
      </c>
      <c r="BR722" t="s">
        <v>100</v>
      </c>
      <c r="BS722" t="s">
        <v>11938</v>
      </c>
      <c r="BT722" t="str">
        <f>HYPERLINK("https%3A%2F%2Fwww.webofscience.com%2Fwos%2Fwoscc%2Ffull-record%2FWOS:000251050800008","View Full Record in Web of Science")</f>
        <v>View Full Record in Web of Science</v>
      </c>
    </row>
    <row r="723" spans="1:72" x14ac:dyDescent="0.15">
      <c r="A723" t="s">
        <v>72</v>
      </c>
      <c r="B723" t="s">
        <v>11939</v>
      </c>
      <c r="C723" t="s">
        <v>74</v>
      </c>
      <c r="D723" t="s">
        <v>74</v>
      </c>
      <c r="E723" t="s">
        <v>74</v>
      </c>
      <c r="F723" t="s">
        <v>11940</v>
      </c>
      <c r="G723" t="s">
        <v>74</v>
      </c>
      <c r="H723" t="s">
        <v>74</v>
      </c>
      <c r="I723" t="s">
        <v>11941</v>
      </c>
      <c r="J723" t="s">
        <v>2929</v>
      </c>
      <c r="K723" t="s">
        <v>74</v>
      </c>
      <c r="L723" t="s">
        <v>74</v>
      </c>
      <c r="M723" t="s">
        <v>2930</v>
      </c>
      <c r="N723" t="s">
        <v>79</v>
      </c>
      <c r="O723" t="s">
        <v>74</v>
      </c>
      <c r="P723" t="s">
        <v>74</v>
      </c>
      <c r="Q723" t="s">
        <v>74</v>
      </c>
      <c r="R723" t="s">
        <v>74</v>
      </c>
      <c r="S723" t="s">
        <v>74</v>
      </c>
      <c r="T723" t="s">
        <v>11942</v>
      </c>
      <c r="U723" t="s">
        <v>11943</v>
      </c>
      <c r="V723" t="s">
        <v>11944</v>
      </c>
      <c r="W723" t="s">
        <v>11945</v>
      </c>
      <c r="X723" t="s">
        <v>11946</v>
      </c>
      <c r="Y723" t="s">
        <v>11947</v>
      </c>
      <c r="Z723" t="s">
        <v>11948</v>
      </c>
      <c r="AA723" t="s">
        <v>74</v>
      </c>
      <c r="AB723" t="s">
        <v>74</v>
      </c>
      <c r="AC723" t="s">
        <v>74</v>
      </c>
      <c r="AD723" t="s">
        <v>74</v>
      </c>
      <c r="AE723" t="s">
        <v>74</v>
      </c>
      <c r="AF723" t="s">
        <v>74</v>
      </c>
      <c r="AG723">
        <v>39</v>
      </c>
      <c r="AH723">
        <v>14</v>
      </c>
      <c r="AI723">
        <v>29</v>
      </c>
      <c r="AJ723">
        <v>0</v>
      </c>
      <c r="AK723">
        <v>7</v>
      </c>
      <c r="AL723" t="s">
        <v>2958</v>
      </c>
      <c r="AM723" t="s">
        <v>2939</v>
      </c>
      <c r="AN723" t="s">
        <v>2940</v>
      </c>
      <c r="AO723" t="s">
        <v>2941</v>
      </c>
      <c r="AP723" t="s">
        <v>74</v>
      </c>
      <c r="AQ723" t="s">
        <v>74</v>
      </c>
      <c r="AR723" t="s">
        <v>2942</v>
      </c>
      <c r="AS723" t="s">
        <v>2943</v>
      </c>
      <c r="AT723" t="s">
        <v>11510</v>
      </c>
      <c r="AU723">
        <v>2007</v>
      </c>
      <c r="AV723">
        <v>50</v>
      </c>
      <c r="AW723">
        <v>6</v>
      </c>
      <c r="AX723" t="s">
        <v>74</v>
      </c>
      <c r="AY723" t="s">
        <v>74</v>
      </c>
      <c r="AZ723" t="s">
        <v>74</v>
      </c>
      <c r="BA723" t="s">
        <v>74</v>
      </c>
      <c r="BB723">
        <v>1666</v>
      </c>
      <c r="BC723">
        <v>1676</v>
      </c>
      <c r="BD723" t="s">
        <v>74</v>
      </c>
      <c r="BE723" t="s">
        <v>74</v>
      </c>
      <c r="BF723" t="s">
        <v>74</v>
      </c>
      <c r="BG723" t="s">
        <v>74</v>
      </c>
      <c r="BH723" t="s">
        <v>74</v>
      </c>
      <c r="BI723">
        <v>11</v>
      </c>
      <c r="BJ723" t="s">
        <v>553</v>
      </c>
      <c r="BK723" t="s">
        <v>97</v>
      </c>
      <c r="BL723" t="s">
        <v>553</v>
      </c>
      <c r="BM723" t="s">
        <v>11949</v>
      </c>
      <c r="BN723" t="s">
        <v>74</v>
      </c>
      <c r="BO723" t="s">
        <v>74</v>
      </c>
      <c r="BP723" t="s">
        <v>74</v>
      </c>
      <c r="BQ723" t="s">
        <v>74</v>
      </c>
      <c r="BR723" t="s">
        <v>100</v>
      </c>
      <c r="BS723" t="s">
        <v>11950</v>
      </c>
      <c r="BT723" t="str">
        <f>HYPERLINK("https%3A%2F%2Fwww.webofscience.com%2Fwos%2Fwoscc%2Ffull-record%2FWOS:000251343600006","View Full Record in Web of Science")</f>
        <v>View Full Record in Web of Science</v>
      </c>
    </row>
    <row r="724" spans="1:72" x14ac:dyDescent="0.15">
      <c r="A724" t="s">
        <v>72</v>
      </c>
      <c r="B724" t="s">
        <v>11951</v>
      </c>
      <c r="C724" t="s">
        <v>74</v>
      </c>
      <c r="D724" t="s">
        <v>74</v>
      </c>
      <c r="E724" t="s">
        <v>74</v>
      </c>
      <c r="F724" t="s">
        <v>11952</v>
      </c>
      <c r="G724" t="s">
        <v>74</v>
      </c>
      <c r="H724" t="s">
        <v>74</v>
      </c>
      <c r="I724" t="s">
        <v>11953</v>
      </c>
      <c r="J724" t="s">
        <v>11954</v>
      </c>
      <c r="K724" t="s">
        <v>74</v>
      </c>
      <c r="L724" t="s">
        <v>74</v>
      </c>
      <c r="M724" t="s">
        <v>78</v>
      </c>
      <c r="N724" t="s">
        <v>79</v>
      </c>
      <c r="O724" t="s">
        <v>74</v>
      </c>
      <c r="P724" t="s">
        <v>74</v>
      </c>
      <c r="Q724" t="s">
        <v>74</v>
      </c>
      <c r="R724" t="s">
        <v>74</v>
      </c>
      <c r="S724" t="s">
        <v>74</v>
      </c>
      <c r="T724" t="s">
        <v>11955</v>
      </c>
      <c r="U724" t="s">
        <v>11956</v>
      </c>
      <c r="V724" t="s">
        <v>11957</v>
      </c>
      <c r="W724" t="s">
        <v>11958</v>
      </c>
      <c r="X724" t="s">
        <v>11959</v>
      </c>
      <c r="Y724" t="s">
        <v>11960</v>
      </c>
      <c r="Z724" t="s">
        <v>11961</v>
      </c>
      <c r="AA724" t="s">
        <v>74</v>
      </c>
      <c r="AB724" t="s">
        <v>74</v>
      </c>
      <c r="AC724" t="s">
        <v>74</v>
      </c>
      <c r="AD724" t="s">
        <v>74</v>
      </c>
      <c r="AE724" t="s">
        <v>74</v>
      </c>
      <c r="AF724" t="s">
        <v>74</v>
      </c>
      <c r="AG724">
        <v>29</v>
      </c>
      <c r="AH724">
        <v>38</v>
      </c>
      <c r="AI724">
        <v>45</v>
      </c>
      <c r="AJ724">
        <v>0</v>
      </c>
      <c r="AK724">
        <v>32</v>
      </c>
      <c r="AL724" t="s">
        <v>661</v>
      </c>
      <c r="AM724" t="s">
        <v>662</v>
      </c>
      <c r="AN724" t="s">
        <v>10933</v>
      </c>
      <c r="AO724" t="s">
        <v>11962</v>
      </c>
      <c r="AP724" t="s">
        <v>74</v>
      </c>
      <c r="AQ724" t="s">
        <v>74</v>
      </c>
      <c r="AR724" t="s">
        <v>11963</v>
      </c>
      <c r="AS724" t="s">
        <v>11964</v>
      </c>
      <c r="AT724" t="s">
        <v>11510</v>
      </c>
      <c r="AU724">
        <v>2007</v>
      </c>
      <c r="AV724">
        <v>148</v>
      </c>
      <c r="AW724">
        <v>3</v>
      </c>
      <c r="AX724" t="s">
        <v>74</v>
      </c>
      <c r="AY724" t="s">
        <v>74</v>
      </c>
      <c r="AZ724" t="s">
        <v>74</v>
      </c>
      <c r="BA724" t="s">
        <v>74</v>
      </c>
      <c r="BB724">
        <v>556</v>
      </c>
      <c r="BC724">
        <v>561</v>
      </c>
      <c r="BD724" t="s">
        <v>74</v>
      </c>
      <c r="BE724" t="s">
        <v>11965</v>
      </c>
      <c r="BF724" t="str">
        <f>HYPERLINK("http://dx.doi.org/10.1016/j.cbpa.2007.07.005","http://dx.doi.org/10.1016/j.cbpa.2007.07.005")</f>
        <v>http://dx.doi.org/10.1016/j.cbpa.2007.07.005</v>
      </c>
      <c r="BG724" t="s">
        <v>74</v>
      </c>
      <c r="BH724" t="s">
        <v>74</v>
      </c>
      <c r="BI724">
        <v>6</v>
      </c>
      <c r="BJ724" t="s">
        <v>11966</v>
      </c>
      <c r="BK724" t="s">
        <v>97</v>
      </c>
      <c r="BL724" t="s">
        <v>11966</v>
      </c>
      <c r="BM724" t="s">
        <v>11967</v>
      </c>
      <c r="BN724">
        <v>17707669</v>
      </c>
      <c r="BO724" t="s">
        <v>74</v>
      </c>
      <c r="BP724" t="s">
        <v>74</v>
      </c>
      <c r="BQ724" t="s">
        <v>74</v>
      </c>
      <c r="BR724" t="s">
        <v>100</v>
      </c>
      <c r="BS724" t="s">
        <v>11968</v>
      </c>
      <c r="BT724" t="str">
        <f>HYPERLINK("https%3A%2F%2Fwww.webofscience.com%2Fwos%2Fwoscc%2Ffull-record%2FWOS:000250656100009","View Full Record in Web of Science")</f>
        <v>View Full Record in Web of Science</v>
      </c>
    </row>
    <row r="725" spans="1:72" x14ac:dyDescent="0.15">
      <c r="A725" t="s">
        <v>72</v>
      </c>
      <c r="B725" t="s">
        <v>11969</v>
      </c>
      <c r="C725" t="s">
        <v>74</v>
      </c>
      <c r="D725" t="s">
        <v>74</v>
      </c>
      <c r="E725" t="s">
        <v>74</v>
      </c>
      <c r="F725" t="s">
        <v>11970</v>
      </c>
      <c r="G725" t="s">
        <v>74</v>
      </c>
      <c r="H725" t="s">
        <v>74</v>
      </c>
      <c r="I725" t="s">
        <v>11971</v>
      </c>
      <c r="J725" t="s">
        <v>3305</v>
      </c>
      <c r="K725" t="s">
        <v>74</v>
      </c>
      <c r="L725" t="s">
        <v>74</v>
      </c>
      <c r="M725" t="s">
        <v>78</v>
      </c>
      <c r="N725" t="s">
        <v>79</v>
      </c>
      <c r="O725" t="s">
        <v>74</v>
      </c>
      <c r="P725" t="s">
        <v>74</v>
      </c>
      <c r="Q725" t="s">
        <v>74</v>
      </c>
      <c r="R725" t="s">
        <v>74</v>
      </c>
      <c r="S725" t="s">
        <v>74</v>
      </c>
      <c r="T725" t="s">
        <v>11972</v>
      </c>
      <c r="U725" t="s">
        <v>11973</v>
      </c>
      <c r="V725" t="s">
        <v>11974</v>
      </c>
      <c r="W725" t="s">
        <v>11975</v>
      </c>
      <c r="X725" t="s">
        <v>440</v>
      </c>
      <c r="Y725" t="s">
        <v>11976</v>
      </c>
      <c r="Z725" t="s">
        <v>11977</v>
      </c>
      <c r="AA725" t="s">
        <v>6208</v>
      </c>
      <c r="AB725" t="s">
        <v>11978</v>
      </c>
      <c r="AC725" t="s">
        <v>6055</v>
      </c>
      <c r="AD725" t="s">
        <v>444</v>
      </c>
      <c r="AE725" t="s">
        <v>74</v>
      </c>
      <c r="AF725" t="s">
        <v>74</v>
      </c>
      <c r="AG725">
        <v>55</v>
      </c>
      <c r="AH725">
        <v>31</v>
      </c>
      <c r="AI725">
        <v>34</v>
      </c>
      <c r="AJ725">
        <v>0</v>
      </c>
      <c r="AK725">
        <v>30</v>
      </c>
      <c r="AL725" t="s">
        <v>521</v>
      </c>
      <c r="AM725" t="s">
        <v>522</v>
      </c>
      <c r="AN725" t="s">
        <v>523</v>
      </c>
      <c r="AO725" t="s">
        <v>3315</v>
      </c>
      <c r="AP725" t="s">
        <v>11979</v>
      </c>
      <c r="AQ725" t="s">
        <v>74</v>
      </c>
      <c r="AR725" t="s">
        <v>3316</v>
      </c>
      <c r="AS725" t="s">
        <v>3317</v>
      </c>
      <c r="AT725" t="s">
        <v>11510</v>
      </c>
      <c r="AU725">
        <v>2007</v>
      </c>
      <c r="AV725">
        <v>54</v>
      </c>
      <c r="AW725">
        <v>11</v>
      </c>
      <c r="AX725" t="s">
        <v>74</v>
      </c>
      <c r="AY725" t="s">
        <v>74</v>
      </c>
      <c r="AZ725" t="s">
        <v>74</v>
      </c>
      <c r="BA725" t="s">
        <v>74</v>
      </c>
      <c r="BB725">
        <v>1871</v>
      </c>
      <c r="BC725">
        <v>1889</v>
      </c>
      <c r="BD725" t="s">
        <v>74</v>
      </c>
      <c r="BE725" t="s">
        <v>11980</v>
      </c>
      <c r="BF725" t="str">
        <f>HYPERLINK("http://dx.doi.org/10.1016/j.dsr.2007.08.008","http://dx.doi.org/10.1016/j.dsr.2007.08.008")</f>
        <v>http://dx.doi.org/10.1016/j.dsr.2007.08.008</v>
      </c>
      <c r="BG725" t="s">
        <v>74</v>
      </c>
      <c r="BH725" t="s">
        <v>74</v>
      </c>
      <c r="BI725">
        <v>19</v>
      </c>
      <c r="BJ725" t="s">
        <v>630</v>
      </c>
      <c r="BK725" t="s">
        <v>97</v>
      </c>
      <c r="BL725" t="s">
        <v>630</v>
      </c>
      <c r="BM725" t="s">
        <v>11981</v>
      </c>
      <c r="BN725" t="s">
        <v>74</v>
      </c>
      <c r="BO725" t="s">
        <v>74</v>
      </c>
      <c r="BP725" t="s">
        <v>74</v>
      </c>
      <c r="BQ725" t="s">
        <v>74</v>
      </c>
      <c r="BR725" t="s">
        <v>100</v>
      </c>
      <c r="BS725" t="s">
        <v>11982</v>
      </c>
      <c r="BT725" t="str">
        <f>HYPERLINK("https%3A%2F%2Fwww.webofscience.com%2Fwos%2Fwoscc%2Ffull-record%2FWOS:000251665400002","View Full Record in Web of Science")</f>
        <v>View Full Record in Web of Science</v>
      </c>
    </row>
    <row r="726" spans="1:72" x14ac:dyDescent="0.15">
      <c r="A726" t="s">
        <v>72</v>
      </c>
      <c r="B726" t="s">
        <v>11983</v>
      </c>
      <c r="C726" t="s">
        <v>74</v>
      </c>
      <c r="D726" t="s">
        <v>74</v>
      </c>
      <c r="E726" t="s">
        <v>74</v>
      </c>
      <c r="F726" t="s">
        <v>11984</v>
      </c>
      <c r="G726" t="s">
        <v>74</v>
      </c>
      <c r="H726" t="s">
        <v>74</v>
      </c>
      <c r="I726" t="s">
        <v>11985</v>
      </c>
      <c r="J726" t="s">
        <v>3305</v>
      </c>
      <c r="K726" t="s">
        <v>74</v>
      </c>
      <c r="L726" t="s">
        <v>74</v>
      </c>
      <c r="M726" t="s">
        <v>78</v>
      </c>
      <c r="N726" t="s">
        <v>79</v>
      </c>
      <c r="O726" t="s">
        <v>74</v>
      </c>
      <c r="P726" t="s">
        <v>74</v>
      </c>
      <c r="Q726" t="s">
        <v>74</v>
      </c>
      <c r="R726" t="s">
        <v>74</v>
      </c>
      <c r="S726" t="s">
        <v>74</v>
      </c>
      <c r="T726" t="s">
        <v>11986</v>
      </c>
      <c r="U726" t="s">
        <v>11987</v>
      </c>
      <c r="V726" t="s">
        <v>11988</v>
      </c>
      <c r="W726" t="s">
        <v>11989</v>
      </c>
      <c r="X726" t="s">
        <v>11990</v>
      </c>
      <c r="Y726" t="s">
        <v>11991</v>
      </c>
      <c r="Z726" t="s">
        <v>11992</v>
      </c>
      <c r="AA726" t="s">
        <v>11993</v>
      </c>
      <c r="AB726" t="s">
        <v>74</v>
      </c>
      <c r="AC726" t="s">
        <v>74</v>
      </c>
      <c r="AD726" t="s">
        <v>74</v>
      </c>
      <c r="AE726" t="s">
        <v>74</v>
      </c>
      <c r="AF726" t="s">
        <v>74</v>
      </c>
      <c r="AG726">
        <v>63</v>
      </c>
      <c r="AH726">
        <v>20</v>
      </c>
      <c r="AI726">
        <v>22</v>
      </c>
      <c r="AJ726">
        <v>0</v>
      </c>
      <c r="AK726">
        <v>9</v>
      </c>
      <c r="AL726" t="s">
        <v>521</v>
      </c>
      <c r="AM726" t="s">
        <v>522</v>
      </c>
      <c r="AN726" t="s">
        <v>523</v>
      </c>
      <c r="AO726" t="s">
        <v>3315</v>
      </c>
      <c r="AP726" t="s">
        <v>11979</v>
      </c>
      <c r="AQ726" t="s">
        <v>74</v>
      </c>
      <c r="AR726" t="s">
        <v>3316</v>
      </c>
      <c r="AS726" t="s">
        <v>3317</v>
      </c>
      <c r="AT726" t="s">
        <v>11510</v>
      </c>
      <c r="AU726">
        <v>2007</v>
      </c>
      <c r="AV726">
        <v>54</v>
      </c>
      <c r="AW726">
        <v>11</v>
      </c>
      <c r="AX726" t="s">
        <v>74</v>
      </c>
      <c r="AY726" t="s">
        <v>74</v>
      </c>
      <c r="AZ726" t="s">
        <v>74</v>
      </c>
      <c r="BA726" t="s">
        <v>74</v>
      </c>
      <c r="BB726">
        <v>1957</v>
      </c>
      <c r="BC726">
        <v>1971</v>
      </c>
      <c r="BD726" t="s">
        <v>74</v>
      </c>
      <c r="BE726" t="s">
        <v>11994</v>
      </c>
      <c r="BF726" t="str">
        <f>HYPERLINK("http://dx.doi.org/10.1016/j.dsr.2007.07.003","http://dx.doi.org/10.1016/j.dsr.2007.07.003")</f>
        <v>http://dx.doi.org/10.1016/j.dsr.2007.07.003</v>
      </c>
      <c r="BG726" t="s">
        <v>74</v>
      </c>
      <c r="BH726" t="s">
        <v>74</v>
      </c>
      <c r="BI726">
        <v>15</v>
      </c>
      <c r="BJ726" t="s">
        <v>630</v>
      </c>
      <c r="BK726" t="s">
        <v>97</v>
      </c>
      <c r="BL726" t="s">
        <v>630</v>
      </c>
      <c r="BM726" t="s">
        <v>11981</v>
      </c>
      <c r="BN726" t="s">
        <v>74</v>
      </c>
      <c r="BO726" t="s">
        <v>74</v>
      </c>
      <c r="BP726" t="s">
        <v>74</v>
      </c>
      <c r="BQ726" t="s">
        <v>74</v>
      </c>
      <c r="BR726" t="s">
        <v>100</v>
      </c>
      <c r="BS726" t="s">
        <v>11995</v>
      </c>
      <c r="BT726" t="str">
        <f>HYPERLINK("https%3A%2F%2Fwww.webofscience.com%2Fwos%2Fwoscc%2Ffull-record%2FWOS:000251665400007","View Full Record in Web of Science")</f>
        <v>View Full Record in Web of Science</v>
      </c>
    </row>
    <row r="727" spans="1:72" x14ac:dyDescent="0.15">
      <c r="A727" t="s">
        <v>72</v>
      </c>
      <c r="B727" t="s">
        <v>11996</v>
      </c>
      <c r="C727" t="s">
        <v>74</v>
      </c>
      <c r="D727" t="s">
        <v>74</v>
      </c>
      <c r="E727" t="s">
        <v>74</v>
      </c>
      <c r="F727" t="s">
        <v>11997</v>
      </c>
      <c r="G727" t="s">
        <v>74</v>
      </c>
      <c r="H727" t="s">
        <v>74</v>
      </c>
      <c r="I727" t="s">
        <v>11998</v>
      </c>
      <c r="J727" t="s">
        <v>9858</v>
      </c>
      <c r="K727" t="s">
        <v>74</v>
      </c>
      <c r="L727" t="s">
        <v>74</v>
      </c>
      <c r="M727" t="s">
        <v>78</v>
      </c>
      <c r="N727" t="s">
        <v>79</v>
      </c>
      <c r="O727" t="s">
        <v>74</v>
      </c>
      <c r="P727" t="s">
        <v>74</v>
      </c>
      <c r="Q727" t="s">
        <v>74</v>
      </c>
      <c r="R727" t="s">
        <v>74</v>
      </c>
      <c r="S727" t="s">
        <v>74</v>
      </c>
      <c r="T727" t="s">
        <v>74</v>
      </c>
      <c r="U727" t="s">
        <v>74</v>
      </c>
      <c r="V727" t="s">
        <v>74</v>
      </c>
      <c r="W727" t="s">
        <v>11999</v>
      </c>
      <c r="X727" t="s">
        <v>12000</v>
      </c>
      <c r="Y727" t="s">
        <v>12001</v>
      </c>
      <c r="Z727" t="s">
        <v>12002</v>
      </c>
      <c r="AA727" t="s">
        <v>12003</v>
      </c>
      <c r="AB727" t="s">
        <v>12004</v>
      </c>
      <c r="AC727" t="s">
        <v>74</v>
      </c>
      <c r="AD727" t="s">
        <v>74</v>
      </c>
      <c r="AE727" t="s">
        <v>74</v>
      </c>
      <c r="AF727" t="s">
        <v>74</v>
      </c>
      <c r="AG727">
        <v>10</v>
      </c>
      <c r="AH727">
        <v>18</v>
      </c>
      <c r="AI727">
        <v>18</v>
      </c>
      <c r="AJ727">
        <v>0</v>
      </c>
      <c r="AK727">
        <v>3</v>
      </c>
      <c r="AL727" t="s">
        <v>9863</v>
      </c>
      <c r="AM727" t="s">
        <v>662</v>
      </c>
      <c r="AN727" t="s">
        <v>9864</v>
      </c>
      <c r="AO727" t="s">
        <v>9865</v>
      </c>
      <c r="AP727" t="s">
        <v>74</v>
      </c>
      <c r="AQ727" t="s">
        <v>74</v>
      </c>
      <c r="AR727" t="s">
        <v>9867</v>
      </c>
      <c r="AS727" t="s">
        <v>9868</v>
      </c>
      <c r="AT727" t="s">
        <v>11510</v>
      </c>
      <c r="AU727">
        <v>2007</v>
      </c>
      <c r="AV727">
        <v>417</v>
      </c>
      <c r="AW727">
        <v>8</v>
      </c>
      <c r="AX727" t="s">
        <v>74</v>
      </c>
      <c r="AY727" t="s">
        <v>74</v>
      </c>
      <c r="AZ727" t="s">
        <v>74</v>
      </c>
      <c r="BA727" t="s">
        <v>74</v>
      </c>
      <c r="BB727">
        <v>1256</v>
      </c>
      <c r="BC727">
        <v>1260</v>
      </c>
      <c r="BD727" t="s">
        <v>74</v>
      </c>
      <c r="BE727" t="s">
        <v>12005</v>
      </c>
      <c r="BF727" t="str">
        <f>HYPERLINK("http://dx.doi.org/10.1134/S1028334X07080284","http://dx.doi.org/10.1134/S1028334X07080284")</f>
        <v>http://dx.doi.org/10.1134/S1028334X07080284</v>
      </c>
      <c r="BG727" t="s">
        <v>74</v>
      </c>
      <c r="BH727" t="s">
        <v>74</v>
      </c>
      <c r="BI727">
        <v>5</v>
      </c>
      <c r="BJ727" t="s">
        <v>96</v>
      </c>
      <c r="BK727" t="s">
        <v>97</v>
      </c>
      <c r="BL727" t="s">
        <v>98</v>
      </c>
      <c r="BM727" t="s">
        <v>12006</v>
      </c>
      <c r="BN727" t="s">
        <v>74</v>
      </c>
      <c r="BO727" t="s">
        <v>74</v>
      </c>
      <c r="BP727" t="s">
        <v>74</v>
      </c>
      <c r="BQ727" t="s">
        <v>74</v>
      </c>
      <c r="BR727" t="s">
        <v>100</v>
      </c>
      <c r="BS727" t="s">
        <v>12007</v>
      </c>
      <c r="BT727" t="str">
        <f>HYPERLINK("https%3A%2F%2Fwww.webofscience.com%2Fwos%2Fwoscc%2Ffull-record%2FWOS:000251499100028","View Full Record in Web of Science")</f>
        <v>View Full Record in Web of Science</v>
      </c>
    </row>
    <row r="728" spans="1:72" x14ac:dyDescent="0.15">
      <c r="A728" t="s">
        <v>72</v>
      </c>
      <c r="B728" t="s">
        <v>12008</v>
      </c>
      <c r="C728" t="s">
        <v>74</v>
      </c>
      <c r="D728" t="s">
        <v>74</v>
      </c>
      <c r="E728" t="s">
        <v>74</v>
      </c>
      <c r="F728" t="s">
        <v>12009</v>
      </c>
      <c r="G728" t="s">
        <v>74</v>
      </c>
      <c r="H728" t="s">
        <v>74</v>
      </c>
      <c r="I728" t="s">
        <v>12010</v>
      </c>
      <c r="J728" t="s">
        <v>12011</v>
      </c>
      <c r="K728" t="s">
        <v>74</v>
      </c>
      <c r="L728" t="s">
        <v>74</v>
      </c>
      <c r="M728" t="s">
        <v>78</v>
      </c>
      <c r="N728" t="s">
        <v>79</v>
      </c>
      <c r="O728" t="s">
        <v>74</v>
      </c>
      <c r="P728" t="s">
        <v>74</v>
      </c>
      <c r="Q728" t="s">
        <v>74</v>
      </c>
      <c r="R728" t="s">
        <v>74</v>
      </c>
      <c r="S728" t="s">
        <v>74</v>
      </c>
      <c r="T728" t="s">
        <v>12012</v>
      </c>
      <c r="U728" t="s">
        <v>12013</v>
      </c>
      <c r="V728" t="s">
        <v>12014</v>
      </c>
      <c r="W728" t="s">
        <v>12015</v>
      </c>
      <c r="X728" t="s">
        <v>12016</v>
      </c>
      <c r="Y728" t="s">
        <v>12017</v>
      </c>
      <c r="Z728" t="s">
        <v>12018</v>
      </c>
      <c r="AA728" t="s">
        <v>12019</v>
      </c>
      <c r="AB728" t="s">
        <v>12020</v>
      </c>
      <c r="AC728" t="s">
        <v>74</v>
      </c>
      <c r="AD728" t="s">
        <v>74</v>
      </c>
      <c r="AE728" t="s">
        <v>74</v>
      </c>
      <c r="AF728" t="s">
        <v>74</v>
      </c>
      <c r="AG728">
        <v>71</v>
      </c>
      <c r="AH728">
        <v>114</v>
      </c>
      <c r="AI728">
        <v>124</v>
      </c>
      <c r="AJ728">
        <v>4</v>
      </c>
      <c r="AK728">
        <v>83</v>
      </c>
      <c r="AL728" t="s">
        <v>12021</v>
      </c>
      <c r="AM728" t="s">
        <v>194</v>
      </c>
      <c r="AN728" t="s">
        <v>12022</v>
      </c>
      <c r="AO728" t="s">
        <v>12023</v>
      </c>
      <c r="AP728" t="s">
        <v>74</v>
      </c>
      <c r="AQ728" t="s">
        <v>74</v>
      </c>
      <c r="AR728" t="s">
        <v>12011</v>
      </c>
      <c r="AS728" t="s">
        <v>297</v>
      </c>
      <c r="AT728" t="s">
        <v>11510</v>
      </c>
      <c r="AU728">
        <v>2007</v>
      </c>
      <c r="AV728">
        <v>88</v>
      </c>
      <c r="AW728">
        <v>11</v>
      </c>
      <c r="AX728" t="s">
        <v>74</v>
      </c>
      <c r="AY728" t="s">
        <v>74</v>
      </c>
      <c r="AZ728" t="s">
        <v>74</v>
      </c>
      <c r="BA728" t="s">
        <v>74</v>
      </c>
      <c r="BB728">
        <v>2810</v>
      </c>
      <c r="BC728">
        <v>2820</v>
      </c>
      <c r="BD728" t="s">
        <v>74</v>
      </c>
      <c r="BE728" t="s">
        <v>12024</v>
      </c>
      <c r="BF728" t="str">
        <f>HYPERLINK("http://dx.doi.org/10.1890/06-1396.1","http://dx.doi.org/10.1890/06-1396.1")</f>
        <v>http://dx.doi.org/10.1890/06-1396.1</v>
      </c>
      <c r="BG728" t="s">
        <v>74</v>
      </c>
      <c r="BH728" t="s">
        <v>74</v>
      </c>
      <c r="BI728">
        <v>11</v>
      </c>
      <c r="BJ728" t="s">
        <v>297</v>
      </c>
      <c r="BK728" t="s">
        <v>97</v>
      </c>
      <c r="BL728" t="s">
        <v>275</v>
      </c>
      <c r="BM728" t="s">
        <v>12025</v>
      </c>
      <c r="BN728">
        <v>18051650</v>
      </c>
      <c r="BO728" t="s">
        <v>179</v>
      </c>
      <c r="BP728" t="s">
        <v>74</v>
      </c>
      <c r="BQ728" t="s">
        <v>74</v>
      </c>
      <c r="BR728" t="s">
        <v>100</v>
      </c>
      <c r="BS728" t="s">
        <v>12026</v>
      </c>
      <c r="BT728" t="str">
        <f>HYPERLINK("https%3A%2F%2Fwww.webofscience.com%2Fwos%2Fwoscc%2Ffull-record%2FWOS:000251067900018","View Full Record in Web of Science")</f>
        <v>View Full Record in Web of Science</v>
      </c>
    </row>
    <row r="729" spans="1:72" x14ac:dyDescent="0.15">
      <c r="A729" t="s">
        <v>72</v>
      </c>
      <c r="B729" t="s">
        <v>12027</v>
      </c>
      <c r="C729" t="s">
        <v>74</v>
      </c>
      <c r="D729" t="s">
        <v>74</v>
      </c>
      <c r="E729" t="s">
        <v>74</v>
      </c>
      <c r="F729" t="s">
        <v>12028</v>
      </c>
      <c r="G729" t="s">
        <v>74</v>
      </c>
      <c r="H729" t="s">
        <v>74</v>
      </c>
      <c r="I729" t="s">
        <v>12029</v>
      </c>
      <c r="J729" t="s">
        <v>12030</v>
      </c>
      <c r="K729" t="s">
        <v>74</v>
      </c>
      <c r="L729" t="s">
        <v>74</v>
      </c>
      <c r="M729" t="s">
        <v>78</v>
      </c>
      <c r="N729" t="s">
        <v>79</v>
      </c>
      <c r="O729" t="s">
        <v>74</v>
      </c>
      <c r="P729" t="s">
        <v>74</v>
      </c>
      <c r="Q729" t="s">
        <v>74</v>
      </c>
      <c r="R729" t="s">
        <v>74</v>
      </c>
      <c r="S729" t="s">
        <v>74</v>
      </c>
      <c r="T729" t="s">
        <v>74</v>
      </c>
      <c r="U729" t="s">
        <v>12031</v>
      </c>
      <c r="V729" t="s">
        <v>12032</v>
      </c>
      <c r="W729" t="s">
        <v>12033</v>
      </c>
      <c r="X729" t="s">
        <v>9967</v>
      </c>
      <c r="Y729" t="s">
        <v>12034</v>
      </c>
      <c r="Z729" t="s">
        <v>12035</v>
      </c>
      <c r="AA729" t="s">
        <v>12036</v>
      </c>
      <c r="AB729" t="s">
        <v>12037</v>
      </c>
      <c r="AC729" t="s">
        <v>12038</v>
      </c>
      <c r="AD729" t="s">
        <v>444</v>
      </c>
      <c r="AE729" t="s">
        <v>74</v>
      </c>
      <c r="AF729" t="s">
        <v>74</v>
      </c>
      <c r="AG729">
        <v>66</v>
      </c>
      <c r="AH729">
        <v>196</v>
      </c>
      <c r="AI729">
        <v>224</v>
      </c>
      <c r="AJ729">
        <v>3</v>
      </c>
      <c r="AK729">
        <v>86</v>
      </c>
      <c r="AL729" t="s">
        <v>1219</v>
      </c>
      <c r="AM729" t="s">
        <v>89</v>
      </c>
      <c r="AN729" t="s">
        <v>90</v>
      </c>
      <c r="AO729" t="s">
        <v>12039</v>
      </c>
      <c r="AP729" t="s">
        <v>12040</v>
      </c>
      <c r="AQ729" t="s">
        <v>74</v>
      </c>
      <c r="AR729" t="s">
        <v>12041</v>
      </c>
      <c r="AS729" t="s">
        <v>12042</v>
      </c>
      <c r="AT729" t="s">
        <v>11510</v>
      </c>
      <c r="AU729">
        <v>2007</v>
      </c>
      <c r="AV729">
        <v>9</v>
      </c>
      <c r="AW729">
        <v>11</v>
      </c>
      <c r="AX729" t="s">
        <v>74</v>
      </c>
      <c r="AY729" t="s">
        <v>74</v>
      </c>
      <c r="AZ729" t="s">
        <v>74</v>
      </c>
      <c r="BA729" t="s">
        <v>74</v>
      </c>
      <c r="BB729">
        <v>2670</v>
      </c>
      <c r="BC729">
        <v>2682</v>
      </c>
      <c r="BD729" t="s">
        <v>74</v>
      </c>
      <c r="BE729" t="s">
        <v>12043</v>
      </c>
      <c r="BF729" t="str">
        <f>HYPERLINK("http://dx.doi.org/10.1111/j.1462-2920.2007.01379.x","http://dx.doi.org/10.1111/j.1462-2920.2007.01379.x")</f>
        <v>http://dx.doi.org/10.1111/j.1462-2920.2007.01379.x</v>
      </c>
      <c r="BG729" t="s">
        <v>74</v>
      </c>
      <c r="BH729" t="s">
        <v>74</v>
      </c>
      <c r="BI729">
        <v>13</v>
      </c>
      <c r="BJ729" t="s">
        <v>4198</v>
      </c>
      <c r="BK729" t="s">
        <v>97</v>
      </c>
      <c r="BL729" t="s">
        <v>4198</v>
      </c>
      <c r="BM729" t="s">
        <v>12044</v>
      </c>
      <c r="BN729">
        <v>17922752</v>
      </c>
      <c r="BO729" t="s">
        <v>74</v>
      </c>
      <c r="BP729" t="s">
        <v>74</v>
      </c>
      <c r="BQ729" t="s">
        <v>74</v>
      </c>
      <c r="BR729" t="s">
        <v>100</v>
      </c>
      <c r="BS729" t="s">
        <v>12045</v>
      </c>
      <c r="BT729" t="str">
        <f>HYPERLINK("https%3A%2F%2Fwww.webofscience.com%2Fwos%2Fwoscc%2Ffull-record%2FWOS:000249990400003","View Full Record in Web of Science")</f>
        <v>View Full Record in Web of Science</v>
      </c>
    </row>
    <row r="730" spans="1:72" x14ac:dyDescent="0.15">
      <c r="A730" t="s">
        <v>72</v>
      </c>
      <c r="B730" t="s">
        <v>12046</v>
      </c>
      <c r="C730" t="s">
        <v>74</v>
      </c>
      <c r="D730" t="s">
        <v>74</v>
      </c>
      <c r="E730" t="s">
        <v>74</v>
      </c>
      <c r="F730" t="s">
        <v>12047</v>
      </c>
      <c r="G730" t="s">
        <v>74</v>
      </c>
      <c r="H730" t="s">
        <v>74</v>
      </c>
      <c r="I730" t="s">
        <v>12048</v>
      </c>
      <c r="J730" t="s">
        <v>12049</v>
      </c>
      <c r="K730" t="s">
        <v>74</v>
      </c>
      <c r="L730" t="s">
        <v>74</v>
      </c>
      <c r="M730" t="s">
        <v>78</v>
      </c>
      <c r="N730" t="s">
        <v>1602</v>
      </c>
      <c r="O730" t="s">
        <v>12050</v>
      </c>
      <c r="P730" t="s">
        <v>12051</v>
      </c>
      <c r="Q730" t="s">
        <v>12052</v>
      </c>
      <c r="R730" t="s">
        <v>74</v>
      </c>
      <c r="S730" t="s">
        <v>74</v>
      </c>
      <c r="T730" t="s">
        <v>12053</v>
      </c>
      <c r="U730" t="s">
        <v>12054</v>
      </c>
      <c r="V730" t="s">
        <v>12055</v>
      </c>
      <c r="W730" t="s">
        <v>12056</v>
      </c>
      <c r="X730" t="s">
        <v>12057</v>
      </c>
      <c r="Y730" t="s">
        <v>12058</v>
      </c>
      <c r="Z730" t="s">
        <v>12059</v>
      </c>
      <c r="AA730" t="s">
        <v>12060</v>
      </c>
      <c r="AB730" t="s">
        <v>12061</v>
      </c>
      <c r="AC730" t="s">
        <v>74</v>
      </c>
      <c r="AD730" t="s">
        <v>74</v>
      </c>
      <c r="AE730" t="s">
        <v>74</v>
      </c>
      <c r="AF730" t="s">
        <v>74</v>
      </c>
      <c r="AG730">
        <v>30</v>
      </c>
      <c r="AH730">
        <v>36</v>
      </c>
      <c r="AI730">
        <v>39</v>
      </c>
      <c r="AJ730">
        <v>0</v>
      </c>
      <c r="AK730">
        <v>13</v>
      </c>
      <c r="AL730" t="s">
        <v>12062</v>
      </c>
      <c r="AM730" t="s">
        <v>12063</v>
      </c>
      <c r="AN730" t="s">
        <v>12064</v>
      </c>
      <c r="AO730" t="s">
        <v>12065</v>
      </c>
      <c r="AP730" t="s">
        <v>12066</v>
      </c>
      <c r="AQ730" t="s">
        <v>74</v>
      </c>
      <c r="AR730" t="s">
        <v>12067</v>
      </c>
      <c r="AS730" t="s">
        <v>12068</v>
      </c>
      <c r="AT730" t="s">
        <v>12069</v>
      </c>
      <c r="AU730">
        <v>2007</v>
      </c>
      <c r="AV730">
        <v>43</v>
      </c>
      <c r="AW730" t="s">
        <v>7979</v>
      </c>
      <c r="AX730" t="s">
        <v>74</v>
      </c>
      <c r="AY730" t="s">
        <v>74</v>
      </c>
      <c r="AZ730" t="s">
        <v>74</v>
      </c>
      <c r="BA730" t="s">
        <v>74</v>
      </c>
      <c r="BB730">
        <v>368</v>
      </c>
      <c r="BC730">
        <v>379</v>
      </c>
      <c r="BD730" t="s">
        <v>74</v>
      </c>
      <c r="BE730" t="s">
        <v>12070</v>
      </c>
      <c r="BF730" t="str">
        <f>HYPERLINK("http://dx.doi.org/10.1016/j.ejsobi.2007.03.012","http://dx.doi.org/10.1016/j.ejsobi.2007.03.012")</f>
        <v>http://dx.doi.org/10.1016/j.ejsobi.2007.03.012</v>
      </c>
      <c r="BG730" t="s">
        <v>74</v>
      </c>
      <c r="BH730" t="s">
        <v>74</v>
      </c>
      <c r="BI730">
        <v>12</v>
      </c>
      <c r="BJ730" t="s">
        <v>12071</v>
      </c>
      <c r="BK730" t="s">
        <v>1616</v>
      </c>
      <c r="BL730" t="s">
        <v>12072</v>
      </c>
      <c r="BM730" t="s">
        <v>12073</v>
      </c>
      <c r="BN730" t="s">
        <v>74</v>
      </c>
      <c r="BO730" t="s">
        <v>74</v>
      </c>
      <c r="BP730" t="s">
        <v>74</v>
      </c>
      <c r="BQ730" t="s">
        <v>74</v>
      </c>
      <c r="BR730" t="s">
        <v>100</v>
      </c>
      <c r="BS730" t="s">
        <v>12074</v>
      </c>
      <c r="BT730" t="str">
        <f>HYPERLINK("https%3A%2F%2Fwww.webofscience.com%2Fwos%2Fwoscc%2Ffull-record%2FWOS:000251684000014","View Full Record in Web of Science")</f>
        <v>View Full Record in Web of Science</v>
      </c>
    </row>
    <row r="731" spans="1:72" x14ac:dyDescent="0.15">
      <c r="A731" t="s">
        <v>72</v>
      </c>
      <c r="B731" t="s">
        <v>12075</v>
      </c>
      <c r="C731" t="s">
        <v>74</v>
      </c>
      <c r="D731" t="s">
        <v>74</v>
      </c>
      <c r="E731" t="s">
        <v>74</v>
      </c>
      <c r="F731" t="s">
        <v>12076</v>
      </c>
      <c r="G731" t="s">
        <v>74</v>
      </c>
      <c r="H731" t="s">
        <v>74</v>
      </c>
      <c r="I731" t="s">
        <v>12077</v>
      </c>
      <c r="J731" t="s">
        <v>12078</v>
      </c>
      <c r="K731" t="s">
        <v>74</v>
      </c>
      <c r="L731" t="s">
        <v>74</v>
      </c>
      <c r="M731" t="s">
        <v>78</v>
      </c>
      <c r="N731" t="s">
        <v>79</v>
      </c>
      <c r="O731" t="s">
        <v>74</v>
      </c>
      <c r="P731" t="s">
        <v>74</v>
      </c>
      <c r="Q731" t="s">
        <v>74</v>
      </c>
      <c r="R731" t="s">
        <v>74</v>
      </c>
      <c r="S731" t="s">
        <v>74</v>
      </c>
      <c r="T731" t="s">
        <v>12079</v>
      </c>
      <c r="U731" t="s">
        <v>12080</v>
      </c>
      <c r="V731" t="s">
        <v>12081</v>
      </c>
      <c r="W731" t="s">
        <v>4458</v>
      </c>
      <c r="X731" t="s">
        <v>440</v>
      </c>
      <c r="Y731" t="s">
        <v>12082</v>
      </c>
      <c r="Z731" t="s">
        <v>12083</v>
      </c>
      <c r="AA731" t="s">
        <v>74</v>
      </c>
      <c r="AB731" t="s">
        <v>74</v>
      </c>
      <c r="AC731" t="s">
        <v>74</v>
      </c>
      <c r="AD731" t="s">
        <v>74</v>
      </c>
      <c r="AE731" t="s">
        <v>74</v>
      </c>
      <c r="AF731" t="s">
        <v>74</v>
      </c>
      <c r="AG731">
        <v>63</v>
      </c>
      <c r="AH731">
        <v>5</v>
      </c>
      <c r="AI731">
        <v>6</v>
      </c>
      <c r="AJ731">
        <v>0</v>
      </c>
      <c r="AK731">
        <v>13</v>
      </c>
      <c r="AL731" t="s">
        <v>12084</v>
      </c>
      <c r="AM731" t="s">
        <v>12085</v>
      </c>
      <c r="AN731" t="s">
        <v>12086</v>
      </c>
      <c r="AO731" t="s">
        <v>12087</v>
      </c>
      <c r="AP731" t="s">
        <v>12088</v>
      </c>
      <c r="AQ731" t="s">
        <v>74</v>
      </c>
      <c r="AR731" t="s">
        <v>12089</v>
      </c>
      <c r="AS731" t="s">
        <v>12090</v>
      </c>
      <c r="AT731" t="s">
        <v>11510</v>
      </c>
      <c r="AU731">
        <v>2007</v>
      </c>
      <c r="AV731">
        <v>9</v>
      </c>
      <c r="AW731">
        <v>7</v>
      </c>
      <c r="AX731" t="s">
        <v>74</v>
      </c>
      <c r="AY731" t="s">
        <v>74</v>
      </c>
      <c r="AZ731" t="s">
        <v>74</v>
      </c>
      <c r="BA731" t="s">
        <v>74</v>
      </c>
      <c r="BB731">
        <v>1053</v>
      </c>
      <c r="BC731">
        <v>1076</v>
      </c>
      <c r="BD731" t="s">
        <v>74</v>
      </c>
      <c r="BE731" t="s">
        <v>74</v>
      </c>
      <c r="BF731" t="s">
        <v>74</v>
      </c>
      <c r="BG731" t="s">
        <v>74</v>
      </c>
      <c r="BH731" t="s">
        <v>74</v>
      </c>
      <c r="BI731">
        <v>24</v>
      </c>
      <c r="BJ731" t="s">
        <v>125</v>
      </c>
      <c r="BK731" t="s">
        <v>97</v>
      </c>
      <c r="BL731" t="s">
        <v>126</v>
      </c>
      <c r="BM731" t="s">
        <v>12091</v>
      </c>
      <c r="BN731" t="s">
        <v>74</v>
      </c>
      <c r="BO731" t="s">
        <v>74</v>
      </c>
      <c r="BP731" t="s">
        <v>74</v>
      </c>
      <c r="BQ731" t="s">
        <v>74</v>
      </c>
      <c r="BR731" t="s">
        <v>100</v>
      </c>
      <c r="BS731" t="s">
        <v>12092</v>
      </c>
      <c r="BT731" t="str">
        <f>HYPERLINK("https%3A%2F%2Fwww.webofscience.com%2Fwos%2Fwoscc%2Ffull-record%2FWOS:000251194600001","View Full Record in Web of Science")</f>
        <v>View Full Record in Web of Science</v>
      </c>
    </row>
    <row r="732" spans="1:72" x14ac:dyDescent="0.15">
      <c r="A732" t="s">
        <v>72</v>
      </c>
      <c r="B732" t="s">
        <v>12093</v>
      </c>
      <c r="C732" t="s">
        <v>74</v>
      </c>
      <c r="D732" t="s">
        <v>74</v>
      </c>
      <c r="E732" t="s">
        <v>74</v>
      </c>
      <c r="F732" t="s">
        <v>12094</v>
      </c>
      <c r="G732" t="s">
        <v>74</v>
      </c>
      <c r="H732" t="s">
        <v>74</v>
      </c>
      <c r="I732" t="s">
        <v>12095</v>
      </c>
      <c r="J732" t="s">
        <v>4131</v>
      </c>
      <c r="K732" t="s">
        <v>74</v>
      </c>
      <c r="L732" t="s">
        <v>74</v>
      </c>
      <c r="M732" t="s">
        <v>78</v>
      </c>
      <c r="N732" t="s">
        <v>79</v>
      </c>
      <c r="O732" t="s">
        <v>74</v>
      </c>
      <c r="P732" t="s">
        <v>74</v>
      </c>
      <c r="Q732" t="s">
        <v>74</v>
      </c>
      <c r="R732" t="s">
        <v>74</v>
      </c>
      <c r="S732" t="s">
        <v>74</v>
      </c>
      <c r="T732" t="s">
        <v>12096</v>
      </c>
      <c r="U732" t="s">
        <v>12097</v>
      </c>
      <c r="V732" t="s">
        <v>12098</v>
      </c>
      <c r="W732" t="s">
        <v>12099</v>
      </c>
      <c r="X732" t="s">
        <v>12100</v>
      </c>
      <c r="Y732" t="s">
        <v>12101</v>
      </c>
      <c r="Z732" t="s">
        <v>12102</v>
      </c>
      <c r="AA732" t="s">
        <v>12103</v>
      </c>
      <c r="AB732" t="s">
        <v>12104</v>
      </c>
      <c r="AC732" t="s">
        <v>74</v>
      </c>
      <c r="AD732" t="s">
        <v>74</v>
      </c>
      <c r="AE732" t="s">
        <v>74</v>
      </c>
      <c r="AF732" t="s">
        <v>74</v>
      </c>
      <c r="AG732">
        <v>40</v>
      </c>
      <c r="AH732">
        <v>53</v>
      </c>
      <c r="AI732">
        <v>61</v>
      </c>
      <c r="AJ732">
        <v>0</v>
      </c>
      <c r="AK732">
        <v>17</v>
      </c>
      <c r="AL732" t="s">
        <v>4139</v>
      </c>
      <c r="AM732" t="s">
        <v>804</v>
      </c>
      <c r="AN732" t="s">
        <v>4140</v>
      </c>
      <c r="AO732" t="s">
        <v>4141</v>
      </c>
      <c r="AP732" t="s">
        <v>4142</v>
      </c>
      <c r="AQ732" t="s">
        <v>74</v>
      </c>
      <c r="AR732" t="s">
        <v>4131</v>
      </c>
      <c r="AS732" t="s">
        <v>4143</v>
      </c>
      <c r="AT732" t="s">
        <v>11510</v>
      </c>
      <c r="AU732">
        <v>2007</v>
      </c>
      <c r="AV732">
        <v>11</v>
      </c>
      <c r="AW732">
        <v>6</v>
      </c>
      <c r="AX732" t="s">
        <v>74</v>
      </c>
      <c r="AY732" t="s">
        <v>74</v>
      </c>
      <c r="AZ732" t="s">
        <v>74</v>
      </c>
      <c r="BA732" t="s">
        <v>74</v>
      </c>
      <c r="BB732">
        <v>819</v>
      </c>
      <c r="BC732">
        <v>826</v>
      </c>
      <c r="BD732" t="s">
        <v>74</v>
      </c>
      <c r="BE732" t="s">
        <v>12105</v>
      </c>
      <c r="BF732" t="str">
        <f>HYPERLINK("http://dx.doi.org/10.1007/s00792-007-0098-6","http://dx.doi.org/10.1007/s00792-007-0098-6")</f>
        <v>http://dx.doi.org/10.1007/s00792-007-0098-6</v>
      </c>
      <c r="BG732" t="s">
        <v>74</v>
      </c>
      <c r="BH732" t="s">
        <v>74</v>
      </c>
      <c r="BI732">
        <v>8</v>
      </c>
      <c r="BJ732" t="s">
        <v>4145</v>
      </c>
      <c r="BK732" t="s">
        <v>97</v>
      </c>
      <c r="BL732" t="s">
        <v>4145</v>
      </c>
      <c r="BM732" t="s">
        <v>12106</v>
      </c>
      <c r="BN732">
        <v>17618403</v>
      </c>
      <c r="BO732" t="s">
        <v>74</v>
      </c>
      <c r="BP732" t="s">
        <v>74</v>
      </c>
      <c r="BQ732" t="s">
        <v>74</v>
      </c>
      <c r="BR732" t="s">
        <v>100</v>
      </c>
      <c r="BS732" t="s">
        <v>12107</v>
      </c>
      <c r="BT732" t="str">
        <f>HYPERLINK("https%3A%2F%2Fwww.webofscience.com%2Fwos%2Fwoscc%2Ffull-record%2FWOS:000251578100008","View Full Record in Web of Science")</f>
        <v>View Full Record in Web of Science</v>
      </c>
    </row>
    <row r="733" spans="1:72" x14ac:dyDescent="0.15">
      <c r="A733" t="s">
        <v>72</v>
      </c>
      <c r="B733" t="s">
        <v>12108</v>
      </c>
      <c r="C733" t="s">
        <v>74</v>
      </c>
      <c r="D733" t="s">
        <v>74</v>
      </c>
      <c r="E733" t="s">
        <v>74</v>
      </c>
      <c r="F733" t="s">
        <v>12109</v>
      </c>
      <c r="G733" t="s">
        <v>74</v>
      </c>
      <c r="H733" t="s">
        <v>74</v>
      </c>
      <c r="I733" t="s">
        <v>12110</v>
      </c>
      <c r="J733" t="s">
        <v>12111</v>
      </c>
      <c r="K733" t="s">
        <v>74</v>
      </c>
      <c r="L733" t="s">
        <v>74</v>
      </c>
      <c r="M733" t="s">
        <v>78</v>
      </c>
      <c r="N733" t="s">
        <v>79</v>
      </c>
      <c r="O733" t="s">
        <v>74</v>
      </c>
      <c r="P733" t="s">
        <v>74</v>
      </c>
      <c r="Q733" t="s">
        <v>74</v>
      </c>
      <c r="R733" t="s">
        <v>74</v>
      </c>
      <c r="S733" t="s">
        <v>74</v>
      </c>
      <c r="T733" t="s">
        <v>12112</v>
      </c>
      <c r="U733" t="s">
        <v>12113</v>
      </c>
      <c r="V733" t="s">
        <v>12114</v>
      </c>
      <c r="W733" t="s">
        <v>12115</v>
      </c>
      <c r="X733" t="s">
        <v>12116</v>
      </c>
      <c r="Y733" t="s">
        <v>12117</v>
      </c>
      <c r="Z733" t="s">
        <v>12118</v>
      </c>
      <c r="AA733" t="s">
        <v>12119</v>
      </c>
      <c r="AB733" t="s">
        <v>12120</v>
      </c>
      <c r="AC733" t="s">
        <v>12121</v>
      </c>
      <c r="AD733" t="s">
        <v>444</v>
      </c>
      <c r="AE733" t="s">
        <v>74</v>
      </c>
      <c r="AF733" t="s">
        <v>74</v>
      </c>
      <c r="AG733">
        <v>49</v>
      </c>
      <c r="AH733">
        <v>8</v>
      </c>
      <c r="AI733">
        <v>10</v>
      </c>
      <c r="AJ733">
        <v>0</v>
      </c>
      <c r="AK733">
        <v>4</v>
      </c>
      <c r="AL733" t="s">
        <v>12062</v>
      </c>
      <c r="AM733" t="s">
        <v>12063</v>
      </c>
      <c r="AN733" t="s">
        <v>12064</v>
      </c>
      <c r="AO733" t="s">
        <v>12122</v>
      </c>
      <c r="AP733" t="s">
        <v>12123</v>
      </c>
      <c r="AQ733" t="s">
        <v>74</v>
      </c>
      <c r="AR733" t="s">
        <v>12124</v>
      </c>
      <c r="AS733" t="s">
        <v>12125</v>
      </c>
      <c r="AT733" t="s">
        <v>12069</v>
      </c>
      <c r="AU733">
        <v>2007</v>
      </c>
      <c r="AV733">
        <v>40</v>
      </c>
      <c r="AW733">
        <v>6</v>
      </c>
      <c r="AX733" t="s">
        <v>74</v>
      </c>
      <c r="AY733" t="s">
        <v>74</v>
      </c>
      <c r="AZ733" t="s">
        <v>74</v>
      </c>
      <c r="BA733" t="s">
        <v>74</v>
      </c>
      <c r="BB733">
        <v>861</v>
      </c>
      <c r="BC733">
        <v>874</v>
      </c>
      <c r="BD733" t="s">
        <v>74</v>
      </c>
      <c r="BE733" t="s">
        <v>12126</v>
      </c>
      <c r="BF733" t="str">
        <f>HYPERLINK("http://dx.doi.org/10.1016/j.geobios.2007.02.007","http://dx.doi.org/10.1016/j.geobios.2007.02.007")</f>
        <v>http://dx.doi.org/10.1016/j.geobios.2007.02.007</v>
      </c>
      <c r="BG733" t="s">
        <v>74</v>
      </c>
      <c r="BH733" t="s">
        <v>74</v>
      </c>
      <c r="BI733">
        <v>14</v>
      </c>
      <c r="BJ733" t="s">
        <v>1426</v>
      </c>
      <c r="BK733" t="s">
        <v>97</v>
      </c>
      <c r="BL733" t="s">
        <v>1426</v>
      </c>
      <c r="BM733" t="s">
        <v>12127</v>
      </c>
      <c r="BN733" t="s">
        <v>74</v>
      </c>
      <c r="BO733" t="s">
        <v>74</v>
      </c>
      <c r="BP733" t="s">
        <v>74</v>
      </c>
      <c r="BQ733" t="s">
        <v>74</v>
      </c>
      <c r="BR733" t="s">
        <v>100</v>
      </c>
      <c r="BS733" t="s">
        <v>12128</v>
      </c>
      <c r="BT733" t="str">
        <f>HYPERLINK("https%3A%2F%2Fwww.webofscience.com%2Fwos%2Fwoscc%2Ffull-record%2FWOS:000252190000014","View Full Record in Web of Science")</f>
        <v>View Full Record in Web of Science</v>
      </c>
    </row>
    <row r="734" spans="1:72" x14ac:dyDescent="0.15">
      <c r="A734" t="s">
        <v>72</v>
      </c>
      <c r="B734" t="s">
        <v>12129</v>
      </c>
      <c r="C734" t="s">
        <v>74</v>
      </c>
      <c r="D734" t="s">
        <v>74</v>
      </c>
      <c r="E734" t="s">
        <v>74</v>
      </c>
      <c r="F734" t="s">
        <v>12130</v>
      </c>
      <c r="G734" t="s">
        <v>74</v>
      </c>
      <c r="H734" t="s">
        <v>74</v>
      </c>
      <c r="I734" t="s">
        <v>12131</v>
      </c>
      <c r="J734" t="s">
        <v>12132</v>
      </c>
      <c r="K734" t="s">
        <v>74</v>
      </c>
      <c r="L734" t="s">
        <v>74</v>
      </c>
      <c r="M734" t="s">
        <v>78</v>
      </c>
      <c r="N734" t="s">
        <v>79</v>
      </c>
      <c r="O734" t="s">
        <v>74</v>
      </c>
      <c r="P734" t="s">
        <v>74</v>
      </c>
      <c r="Q734" t="s">
        <v>74</v>
      </c>
      <c r="R734" t="s">
        <v>74</v>
      </c>
      <c r="S734" t="s">
        <v>74</v>
      </c>
      <c r="T734" t="s">
        <v>12133</v>
      </c>
      <c r="U734" t="s">
        <v>12134</v>
      </c>
      <c r="V734" t="s">
        <v>12135</v>
      </c>
      <c r="W734" t="s">
        <v>12136</v>
      </c>
      <c r="X734" t="s">
        <v>12137</v>
      </c>
      <c r="Y734" t="s">
        <v>12138</v>
      </c>
      <c r="Z734" t="s">
        <v>12139</v>
      </c>
      <c r="AA734" t="s">
        <v>74</v>
      </c>
      <c r="AB734" t="s">
        <v>12140</v>
      </c>
      <c r="AC734" t="s">
        <v>74</v>
      </c>
      <c r="AD734" t="s">
        <v>74</v>
      </c>
      <c r="AE734" t="s">
        <v>74</v>
      </c>
      <c r="AF734" t="s">
        <v>74</v>
      </c>
      <c r="AG734">
        <v>61</v>
      </c>
      <c r="AH734">
        <v>164</v>
      </c>
      <c r="AI734">
        <v>183</v>
      </c>
      <c r="AJ734">
        <v>0</v>
      </c>
      <c r="AK734">
        <v>52</v>
      </c>
      <c r="AL734" t="s">
        <v>12141</v>
      </c>
      <c r="AM734" t="s">
        <v>7930</v>
      </c>
      <c r="AN734" t="s">
        <v>12142</v>
      </c>
      <c r="AO734" t="s">
        <v>12143</v>
      </c>
      <c r="AP734" t="s">
        <v>12144</v>
      </c>
      <c r="AQ734" t="s">
        <v>74</v>
      </c>
      <c r="AR734" t="s">
        <v>12145</v>
      </c>
      <c r="AS734" t="s">
        <v>12146</v>
      </c>
      <c r="AT734" t="s">
        <v>12069</v>
      </c>
      <c r="AU734">
        <v>2007</v>
      </c>
      <c r="AV734">
        <v>119</v>
      </c>
      <c r="AW734" t="s">
        <v>12147</v>
      </c>
      <c r="AX734" t="s">
        <v>74</v>
      </c>
      <c r="AY734" t="s">
        <v>74</v>
      </c>
      <c r="AZ734" t="s">
        <v>74</v>
      </c>
      <c r="BA734" t="s">
        <v>74</v>
      </c>
      <c r="BB734">
        <v>1449</v>
      </c>
      <c r="BC734">
        <v>1461</v>
      </c>
      <c r="BD734" t="s">
        <v>74</v>
      </c>
      <c r="BE734" t="s">
        <v>12148</v>
      </c>
      <c r="BF734" t="str">
        <f>HYPERLINK("http://dx.doi.org/10.1130/0016-7606(2007)119[1449:MMMGCC]2.0.CO;2","http://dx.doi.org/10.1130/0016-7606(2007)119[1449:MMMGCC]2.0.CO;2")</f>
        <v>http://dx.doi.org/10.1130/0016-7606(2007)119[1449:MMMGCC]2.0.CO;2</v>
      </c>
      <c r="BG734" t="s">
        <v>74</v>
      </c>
      <c r="BH734" t="s">
        <v>74</v>
      </c>
      <c r="BI734">
        <v>13</v>
      </c>
      <c r="BJ734" t="s">
        <v>96</v>
      </c>
      <c r="BK734" t="s">
        <v>97</v>
      </c>
      <c r="BL734" t="s">
        <v>98</v>
      </c>
      <c r="BM734" t="s">
        <v>12149</v>
      </c>
      <c r="BN734" t="s">
        <v>74</v>
      </c>
      <c r="BO734" t="s">
        <v>74</v>
      </c>
      <c r="BP734" t="s">
        <v>74</v>
      </c>
      <c r="BQ734" t="s">
        <v>74</v>
      </c>
      <c r="BR734" t="s">
        <v>100</v>
      </c>
      <c r="BS734" t="s">
        <v>12150</v>
      </c>
      <c r="BT734" t="str">
        <f>HYPERLINK("https%3A%2F%2Fwww.webofscience.com%2Fwos%2Fwoscc%2Ffull-record%2FWOS:000250543800010","View Full Record in Web of Science")</f>
        <v>View Full Record in Web of Science</v>
      </c>
    </row>
    <row r="735" spans="1:72" x14ac:dyDescent="0.15">
      <c r="A735" t="s">
        <v>72</v>
      </c>
      <c r="B735" t="s">
        <v>12151</v>
      </c>
      <c r="C735" t="s">
        <v>74</v>
      </c>
      <c r="D735" t="s">
        <v>74</v>
      </c>
      <c r="E735" t="s">
        <v>74</v>
      </c>
      <c r="F735" t="s">
        <v>12152</v>
      </c>
      <c r="G735" t="s">
        <v>74</v>
      </c>
      <c r="H735" t="s">
        <v>74</v>
      </c>
      <c r="I735" t="s">
        <v>12153</v>
      </c>
      <c r="J735" t="s">
        <v>12154</v>
      </c>
      <c r="K735" t="s">
        <v>74</v>
      </c>
      <c r="L735" t="s">
        <v>74</v>
      </c>
      <c r="M735" t="s">
        <v>78</v>
      </c>
      <c r="N735" t="s">
        <v>79</v>
      </c>
      <c r="O735" t="s">
        <v>74</v>
      </c>
      <c r="P735" t="s">
        <v>74</v>
      </c>
      <c r="Q735" t="s">
        <v>74</v>
      </c>
      <c r="R735" t="s">
        <v>74</v>
      </c>
      <c r="S735" t="s">
        <v>74</v>
      </c>
      <c r="T735" t="s">
        <v>12155</v>
      </c>
      <c r="U735" t="s">
        <v>12156</v>
      </c>
      <c r="V735" t="s">
        <v>12157</v>
      </c>
      <c r="W735" t="s">
        <v>12158</v>
      </c>
      <c r="X735" t="s">
        <v>12159</v>
      </c>
      <c r="Y735" t="s">
        <v>12160</v>
      </c>
      <c r="Z735" t="s">
        <v>12161</v>
      </c>
      <c r="AA735" t="s">
        <v>12162</v>
      </c>
      <c r="AB735" t="s">
        <v>12163</v>
      </c>
      <c r="AC735" t="s">
        <v>74</v>
      </c>
      <c r="AD735" t="s">
        <v>74</v>
      </c>
      <c r="AE735" t="s">
        <v>74</v>
      </c>
      <c r="AF735" t="s">
        <v>74</v>
      </c>
      <c r="AG735">
        <v>70</v>
      </c>
      <c r="AH735">
        <v>44</v>
      </c>
      <c r="AI735">
        <v>49</v>
      </c>
      <c r="AJ735">
        <v>0</v>
      </c>
      <c r="AK735">
        <v>1</v>
      </c>
      <c r="AL735" t="s">
        <v>265</v>
      </c>
      <c r="AM735" t="s">
        <v>266</v>
      </c>
      <c r="AN735" t="s">
        <v>267</v>
      </c>
      <c r="AO735" t="s">
        <v>12164</v>
      </c>
      <c r="AP735" t="s">
        <v>12165</v>
      </c>
      <c r="AQ735" t="s">
        <v>74</v>
      </c>
      <c r="AR735" t="s">
        <v>12166</v>
      </c>
      <c r="AS735" t="s">
        <v>12167</v>
      </c>
      <c r="AT735" t="s">
        <v>11510</v>
      </c>
      <c r="AU735">
        <v>2007</v>
      </c>
      <c r="AV735">
        <v>12</v>
      </c>
      <c r="AW735">
        <v>4</v>
      </c>
      <c r="AX735" t="s">
        <v>74</v>
      </c>
      <c r="AY735" t="s">
        <v>74</v>
      </c>
      <c r="AZ735" t="s">
        <v>74</v>
      </c>
      <c r="BA735" t="s">
        <v>74</v>
      </c>
      <c r="BB735">
        <v>417</v>
      </c>
      <c r="BC735">
        <v>427</v>
      </c>
      <c r="BD735" t="s">
        <v>74</v>
      </c>
      <c r="BE735" t="s">
        <v>12168</v>
      </c>
      <c r="BF735" t="str">
        <f>HYPERLINK("http://dx.doi.org/10.1016/j.gr.2007.05.011","http://dx.doi.org/10.1016/j.gr.2007.05.011")</f>
        <v>http://dx.doi.org/10.1016/j.gr.2007.05.011</v>
      </c>
      <c r="BG735" t="s">
        <v>74</v>
      </c>
      <c r="BH735" t="s">
        <v>74</v>
      </c>
      <c r="BI735">
        <v>11</v>
      </c>
      <c r="BJ735" t="s">
        <v>96</v>
      </c>
      <c r="BK735" t="s">
        <v>97</v>
      </c>
      <c r="BL735" t="s">
        <v>98</v>
      </c>
      <c r="BM735" t="s">
        <v>12169</v>
      </c>
      <c r="BN735" t="s">
        <v>74</v>
      </c>
      <c r="BO735" t="s">
        <v>74</v>
      </c>
      <c r="BP735" t="s">
        <v>74</v>
      </c>
      <c r="BQ735" t="s">
        <v>74</v>
      </c>
      <c r="BR735" t="s">
        <v>100</v>
      </c>
      <c r="BS735" t="s">
        <v>12170</v>
      </c>
      <c r="BT735" t="str">
        <f>HYPERLINK("https%3A%2F%2Fwww.webofscience.com%2Fwos%2Fwoscc%2Ffull-record%2FWOS:000251447400006","View Full Record in Web of Science")</f>
        <v>View Full Record in Web of Science</v>
      </c>
    </row>
    <row r="736" spans="1:72" x14ac:dyDescent="0.15">
      <c r="A736" t="s">
        <v>72</v>
      </c>
      <c r="B736" t="s">
        <v>10117</v>
      </c>
      <c r="C736" t="s">
        <v>74</v>
      </c>
      <c r="D736" t="s">
        <v>74</v>
      </c>
      <c r="E736" t="s">
        <v>74</v>
      </c>
      <c r="F736" t="s">
        <v>10118</v>
      </c>
      <c r="G736" t="s">
        <v>74</v>
      </c>
      <c r="H736" t="s">
        <v>74</v>
      </c>
      <c r="I736" t="s">
        <v>12171</v>
      </c>
      <c r="J736" t="s">
        <v>5005</v>
      </c>
      <c r="K736" t="s">
        <v>74</v>
      </c>
      <c r="L736" t="s">
        <v>74</v>
      </c>
      <c r="M736" t="s">
        <v>78</v>
      </c>
      <c r="N736" t="s">
        <v>79</v>
      </c>
      <c r="O736" t="s">
        <v>74</v>
      </c>
      <c r="P736" t="s">
        <v>74</v>
      </c>
      <c r="Q736" t="s">
        <v>74</v>
      </c>
      <c r="R736" t="s">
        <v>74</v>
      </c>
      <c r="S736" t="s">
        <v>74</v>
      </c>
      <c r="T736" t="s">
        <v>74</v>
      </c>
      <c r="U736" t="s">
        <v>12172</v>
      </c>
      <c r="V736" t="s">
        <v>12173</v>
      </c>
      <c r="W736" t="s">
        <v>12174</v>
      </c>
      <c r="X736" t="s">
        <v>12175</v>
      </c>
      <c r="Y736" t="s">
        <v>10124</v>
      </c>
      <c r="Z736" t="s">
        <v>10125</v>
      </c>
      <c r="AA736" t="s">
        <v>10126</v>
      </c>
      <c r="AB736" t="s">
        <v>10127</v>
      </c>
      <c r="AC736" t="s">
        <v>74</v>
      </c>
      <c r="AD736" t="s">
        <v>74</v>
      </c>
      <c r="AE736" t="s">
        <v>74</v>
      </c>
      <c r="AF736" t="s">
        <v>74</v>
      </c>
      <c r="AG736">
        <v>21</v>
      </c>
      <c r="AH736">
        <v>26</v>
      </c>
      <c r="AI736">
        <v>28</v>
      </c>
      <c r="AJ736">
        <v>1</v>
      </c>
      <c r="AK736">
        <v>7</v>
      </c>
      <c r="AL736" t="s">
        <v>5014</v>
      </c>
      <c r="AM736" t="s">
        <v>5015</v>
      </c>
      <c r="AN736" t="s">
        <v>5016</v>
      </c>
      <c r="AO736" t="s">
        <v>5017</v>
      </c>
      <c r="AP736" t="s">
        <v>74</v>
      </c>
      <c r="AQ736" t="s">
        <v>74</v>
      </c>
      <c r="AR736" t="s">
        <v>5018</v>
      </c>
      <c r="AS736" t="s">
        <v>5019</v>
      </c>
      <c r="AT736" t="s">
        <v>11510</v>
      </c>
      <c r="AU736">
        <v>2007</v>
      </c>
      <c r="AV736">
        <v>57</v>
      </c>
      <c r="AW736" t="s">
        <v>74</v>
      </c>
      <c r="AX736">
        <v>11</v>
      </c>
      <c r="AY736" t="s">
        <v>74</v>
      </c>
      <c r="AZ736" t="s">
        <v>74</v>
      </c>
      <c r="BA736" t="s">
        <v>74</v>
      </c>
      <c r="BB736">
        <v>2595</v>
      </c>
      <c r="BC736">
        <v>2599</v>
      </c>
      <c r="BD736" t="s">
        <v>74</v>
      </c>
      <c r="BE736" t="s">
        <v>12176</v>
      </c>
      <c r="BF736" t="str">
        <f>HYPERLINK("http://dx.doi.org/10.1099/ijs.0.65274-0","http://dx.doi.org/10.1099/ijs.0.65274-0")</f>
        <v>http://dx.doi.org/10.1099/ijs.0.65274-0</v>
      </c>
      <c r="BG736" t="s">
        <v>74</v>
      </c>
      <c r="BH736" t="s">
        <v>74</v>
      </c>
      <c r="BI736">
        <v>5</v>
      </c>
      <c r="BJ736" t="s">
        <v>4198</v>
      </c>
      <c r="BK736" t="s">
        <v>97</v>
      </c>
      <c r="BL736" t="s">
        <v>4198</v>
      </c>
      <c r="BM736" t="s">
        <v>12177</v>
      </c>
      <c r="BN736">
        <v>17978224</v>
      </c>
      <c r="BO736" t="s">
        <v>179</v>
      </c>
      <c r="BP736" t="s">
        <v>74</v>
      </c>
      <c r="BQ736" t="s">
        <v>74</v>
      </c>
      <c r="BR736" t="s">
        <v>100</v>
      </c>
      <c r="BS736" t="s">
        <v>12178</v>
      </c>
      <c r="BT736" t="str">
        <f>HYPERLINK("https%3A%2F%2Fwww.webofscience.com%2Fwos%2Fwoscc%2Ffull-record%2FWOS:000251432900027","View Full Record in Web of Science")</f>
        <v>View Full Record in Web of Science</v>
      </c>
    </row>
    <row r="737" spans="1:72" x14ac:dyDescent="0.15">
      <c r="A737" t="s">
        <v>72</v>
      </c>
      <c r="B737" t="s">
        <v>12179</v>
      </c>
      <c r="C737" t="s">
        <v>74</v>
      </c>
      <c r="D737" t="s">
        <v>74</v>
      </c>
      <c r="E737" t="s">
        <v>74</v>
      </c>
      <c r="F737" t="s">
        <v>12180</v>
      </c>
      <c r="G737" t="s">
        <v>74</v>
      </c>
      <c r="H737" t="s">
        <v>74</v>
      </c>
      <c r="I737" t="s">
        <v>12181</v>
      </c>
      <c r="J737" t="s">
        <v>5005</v>
      </c>
      <c r="K737" t="s">
        <v>74</v>
      </c>
      <c r="L737" t="s">
        <v>74</v>
      </c>
      <c r="M737" t="s">
        <v>78</v>
      </c>
      <c r="N737" t="s">
        <v>79</v>
      </c>
      <c r="O737" t="s">
        <v>74</v>
      </c>
      <c r="P737" t="s">
        <v>74</v>
      </c>
      <c r="Q737" t="s">
        <v>74</v>
      </c>
      <c r="R737" t="s">
        <v>74</v>
      </c>
      <c r="S737" t="s">
        <v>74</v>
      </c>
      <c r="T737" t="s">
        <v>74</v>
      </c>
      <c r="U737" t="s">
        <v>12182</v>
      </c>
      <c r="V737" t="s">
        <v>12183</v>
      </c>
      <c r="W737" t="s">
        <v>12184</v>
      </c>
      <c r="X737" t="s">
        <v>12185</v>
      </c>
      <c r="Y737" t="s">
        <v>12186</v>
      </c>
      <c r="Z737" t="s">
        <v>12187</v>
      </c>
      <c r="AA737" t="s">
        <v>12188</v>
      </c>
      <c r="AB737" t="s">
        <v>12189</v>
      </c>
      <c r="AC737" t="s">
        <v>74</v>
      </c>
      <c r="AD737" t="s">
        <v>74</v>
      </c>
      <c r="AE737" t="s">
        <v>74</v>
      </c>
      <c r="AF737" t="s">
        <v>74</v>
      </c>
      <c r="AG737">
        <v>31</v>
      </c>
      <c r="AH737">
        <v>24</v>
      </c>
      <c r="AI737">
        <v>26</v>
      </c>
      <c r="AJ737">
        <v>1</v>
      </c>
      <c r="AK737">
        <v>13</v>
      </c>
      <c r="AL737" t="s">
        <v>12190</v>
      </c>
      <c r="AM737" t="s">
        <v>118</v>
      </c>
      <c r="AN737" t="s">
        <v>12191</v>
      </c>
      <c r="AO737" t="s">
        <v>5017</v>
      </c>
      <c r="AP737" t="s">
        <v>12192</v>
      </c>
      <c r="AQ737" t="s">
        <v>74</v>
      </c>
      <c r="AR737" t="s">
        <v>5018</v>
      </c>
      <c r="AS737" t="s">
        <v>5019</v>
      </c>
      <c r="AT737" t="s">
        <v>11510</v>
      </c>
      <c r="AU737">
        <v>2007</v>
      </c>
      <c r="AV737">
        <v>57</v>
      </c>
      <c r="AW737" t="s">
        <v>74</v>
      </c>
      <c r="AX737">
        <v>11</v>
      </c>
      <c r="AY737" t="s">
        <v>74</v>
      </c>
      <c r="AZ737" t="s">
        <v>74</v>
      </c>
      <c r="BA737" t="s">
        <v>74</v>
      </c>
      <c r="BB737">
        <v>2604</v>
      </c>
      <c r="BC737">
        <v>2608</v>
      </c>
      <c r="BD737" t="s">
        <v>74</v>
      </c>
      <c r="BE737" t="s">
        <v>12193</v>
      </c>
      <c r="BF737" t="str">
        <f>HYPERLINK("http://dx.doi.org/10.1099/ijs.0.65154-0","http://dx.doi.org/10.1099/ijs.0.65154-0")</f>
        <v>http://dx.doi.org/10.1099/ijs.0.65154-0</v>
      </c>
      <c r="BG737" t="s">
        <v>74</v>
      </c>
      <c r="BH737" t="s">
        <v>74</v>
      </c>
      <c r="BI737">
        <v>5</v>
      </c>
      <c r="BJ737" t="s">
        <v>4198</v>
      </c>
      <c r="BK737" t="s">
        <v>97</v>
      </c>
      <c r="BL737" t="s">
        <v>4198</v>
      </c>
      <c r="BM737" t="s">
        <v>12177</v>
      </c>
      <c r="BN737">
        <v>17978226</v>
      </c>
      <c r="BO737" t="s">
        <v>1838</v>
      </c>
      <c r="BP737" t="s">
        <v>74</v>
      </c>
      <c r="BQ737" t="s">
        <v>74</v>
      </c>
      <c r="BR737" t="s">
        <v>100</v>
      </c>
      <c r="BS737" t="s">
        <v>12194</v>
      </c>
      <c r="BT737" t="str">
        <f>HYPERLINK("https%3A%2F%2Fwww.webofscience.com%2Fwos%2Fwoscc%2Ffull-record%2FWOS:000251432900029","View Full Record in Web of Science")</f>
        <v>View Full Record in Web of Science</v>
      </c>
    </row>
    <row r="738" spans="1:72" x14ac:dyDescent="0.15">
      <c r="A738" t="s">
        <v>72</v>
      </c>
      <c r="B738" t="s">
        <v>12195</v>
      </c>
      <c r="C738" t="s">
        <v>74</v>
      </c>
      <c r="D738" t="s">
        <v>74</v>
      </c>
      <c r="E738" t="s">
        <v>74</v>
      </c>
      <c r="F738" t="s">
        <v>12196</v>
      </c>
      <c r="G738" t="s">
        <v>74</v>
      </c>
      <c r="H738" t="s">
        <v>74</v>
      </c>
      <c r="I738" t="s">
        <v>12197</v>
      </c>
      <c r="J738" t="s">
        <v>5005</v>
      </c>
      <c r="K738" t="s">
        <v>74</v>
      </c>
      <c r="L738" t="s">
        <v>74</v>
      </c>
      <c r="M738" t="s">
        <v>78</v>
      </c>
      <c r="N738" t="s">
        <v>79</v>
      </c>
      <c r="O738" t="s">
        <v>74</v>
      </c>
      <c r="P738" t="s">
        <v>74</v>
      </c>
      <c r="Q738" t="s">
        <v>74</v>
      </c>
      <c r="R738" t="s">
        <v>74</v>
      </c>
      <c r="S738" t="s">
        <v>74</v>
      </c>
      <c r="T738" t="s">
        <v>74</v>
      </c>
      <c r="U738" t="s">
        <v>12198</v>
      </c>
      <c r="V738" t="s">
        <v>12199</v>
      </c>
      <c r="W738" t="s">
        <v>12200</v>
      </c>
      <c r="X738" t="s">
        <v>12201</v>
      </c>
      <c r="Y738" t="s">
        <v>12202</v>
      </c>
      <c r="Z738" t="s">
        <v>12203</v>
      </c>
      <c r="AA738" t="s">
        <v>12204</v>
      </c>
      <c r="AB738" t="s">
        <v>12205</v>
      </c>
      <c r="AC738" t="s">
        <v>74</v>
      </c>
      <c r="AD738" t="s">
        <v>74</v>
      </c>
      <c r="AE738" t="s">
        <v>74</v>
      </c>
      <c r="AF738" t="s">
        <v>74</v>
      </c>
      <c r="AG738">
        <v>21</v>
      </c>
      <c r="AH738">
        <v>34</v>
      </c>
      <c r="AI738">
        <v>36</v>
      </c>
      <c r="AJ738">
        <v>0</v>
      </c>
      <c r="AK738">
        <v>9</v>
      </c>
      <c r="AL738" t="s">
        <v>12190</v>
      </c>
      <c r="AM738" t="s">
        <v>118</v>
      </c>
      <c r="AN738" t="s">
        <v>12191</v>
      </c>
      <c r="AO738" t="s">
        <v>5017</v>
      </c>
      <c r="AP738" t="s">
        <v>12192</v>
      </c>
      <c r="AQ738" t="s">
        <v>74</v>
      </c>
      <c r="AR738" t="s">
        <v>5018</v>
      </c>
      <c r="AS738" t="s">
        <v>5019</v>
      </c>
      <c r="AT738" t="s">
        <v>11510</v>
      </c>
      <c r="AU738">
        <v>2007</v>
      </c>
      <c r="AV738">
        <v>57</v>
      </c>
      <c r="AW738" t="s">
        <v>74</v>
      </c>
      <c r="AX738">
        <v>11</v>
      </c>
      <c r="AY738" t="s">
        <v>74</v>
      </c>
      <c r="AZ738" t="s">
        <v>74</v>
      </c>
      <c r="BA738" t="s">
        <v>74</v>
      </c>
      <c r="BB738">
        <v>2609</v>
      </c>
      <c r="BC738">
        <v>2612</v>
      </c>
      <c r="BD738" t="s">
        <v>74</v>
      </c>
      <c r="BE738" t="s">
        <v>12206</v>
      </c>
      <c r="BF738" t="str">
        <f>HYPERLINK("http://dx.doi.org/10.1099/ijs.0.65141-0","http://dx.doi.org/10.1099/ijs.0.65141-0")</f>
        <v>http://dx.doi.org/10.1099/ijs.0.65141-0</v>
      </c>
      <c r="BG738" t="s">
        <v>74</v>
      </c>
      <c r="BH738" t="s">
        <v>74</v>
      </c>
      <c r="BI738">
        <v>4</v>
      </c>
      <c r="BJ738" t="s">
        <v>4198</v>
      </c>
      <c r="BK738" t="s">
        <v>97</v>
      </c>
      <c r="BL738" t="s">
        <v>4198</v>
      </c>
      <c r="BM738" t="s">
        <v>12177</v>
      </c>
      <c r="BN738">
        <v>17978227</v>
      </c>
      <c r="BO738" t="s">
        <v>179</v>
      </c>
      <c r="BP738" t="s">
        <v>74</v>
      </c>
      <c r="BQ738" t="s">
        <v>74</v>
      </c>
      <c r="BR738" t="s">
        <v>100</v>
      </c>
      <c r="BS738" t="s">
        <v>12207</v>
      </c>
      <c r="BT738" t="str">
        <f>HYPERLINK("https%3A%2F%2Fwww.webofscience.com%2Fwos%2Fwoscc%2Ffull-record%2FWOS:000251432900030","View Full Record in Web of Science")</f>
        <v>View Full Record in Web of Science</v>
      </c>
    </row>
    <row r="739" spans="1:72" x14ac:dyDescent="0.15">
      <c r="A739" t="s">
        <v>72</v>
      </c>
      <c r="B739" t="s">
        <v>12208</v>
      </c>
      <c r="C739" t="s">
        <v>74</v>
      </c>
      <c r="D739" t="s">
        <v>74</v>
      </c>
      <c r="E739" t="s">
        <v>74</v>
      </c>
      <c r="F739" t="s">
        <v>12209</v>
      </c>
      <c r="G739" t="s">
        <v>74</v>
      </c>
      <c r="H739" t="s">
        <v>74</v>
      </c>
      <c r="I739" t="s">
        <v>12210</v>
      </c>
      <c r="J739" t="s">
        <v>12211</v>
      </c>
      <c r="K739" t="s">
        <v>74</v>
      </c>
      <c r="L739" t="s">
        <v>74</v>
      </c>
      <c r="M739" t="s">
        <v>78</v>
      </c>
      <c r="N739" t="s">
        <v>79</v>
      </c>
      <c r="O739" t="s">
        <v>74</v>
      </c>
      <c r="P739" t="s">
        <v>74</v>
      </c>
      <c r="Q739" t="s">
        <v>74</v>
      </c>
      <c r="R739" t="s">
        <v>74</v>
      </c>
      <c r="S739" t="s">
        <v>74</v>
      </c>
      <c r="T739" t="s">
        <v>74</v>
      </c>
      <c r="U739" t="s">
        <v>12212</v>
      </c>
      <c r="V739" t="s">
        <v>12213</v>
      </c>
      <c r="W739" t="s">
        <v>12214</v>
      </c>
      <c r="X739" t="s">
        <v>12215</v>
      </c>
      <c r="Y739" t="s">
        <v>12216</v>
      </c>
      <c r="Z739" t="s">
        <v>12217</v>
      </c>
      <c r="AA739" t="s">
        <v>12218</v>
      </c>
      <c r="AB739" t="s">
        <v>12219</v>
      </c>
      <c r="AC739" t="s">
        <v>74</v>
      </c>
      <c r="AD739" t="s">
        <v>74</v>
      </c>
      <c r="AE739" t="s">
        <v>74</v>
      </c>
      <c r="AF739" t="s">
        <v>74</v>
      </c>
      <c r="AG739">
        <v>26</v>
      </c>
      <c r="AH739">
        <v>25</v>
      </c>
      <c r="AI739">
        <v>27</v>
      </c>
      <c r="AJ739">
        <v>0</v>
      </c>
      <c r="AK739">
        <v>10</v>
      </c>
      <c r="AL739" t="s">
        <v>583</v>
      </c>
      <c r="AM739" t="s">
        <v>584</v>
      </c>
      <c r="AN739" t="s">
        <v>585</v>
      </c>
      <c r="AO739" t="s">
        <v>12220</v>
      </c>
      <c r="AP739" t="s">
        <v>74</v>
      </c>
      <c r="AQ739" t="s">
        <v>74</v>
      </c>
      <c r="AR739" t="s">
        <v>12221</v>
      </c>
      <c r="AS739" t="s">
        <v>12222</v>
      </c>
      <c r="AT739" t="s">
        <v>11510</v>
      </c>
      <c r="AU739">
        <v>2007</v>
      </c>
      <c r="AV739">
        <v>46</v>
      </c>
      <c r="AW739">
        <v>11</v>
      </c>
      <c r="AX739" t="s">
        <v>74</v>
      </c>
      <c r="AY739" t="s">
        <v>74</v>
      </c>
      <c r="AZ739" t="s">
        <v>74</v>
      </c>
      <c r="BA739" t="s">
        <v>74</v>
      </c>
      <c r="BB739">
        <v>1933</v>
      </c>
      <c r="BC739">
        <v>1955</v>
      </c>
      <c r="BD739" t="s">
        <v>74</v>
      </c>
      <c r="BE739" t="s">
        <v>12223</v>
      </c>
      <c r="BF739" t="str">
        <f>HYPERLINK("http://dx.doi.org/10.1175/2007JAMC1442.1","http://dx.doi.org/10.1175/2007JAMC1442.1")</f>
        <v>http://dx.doi.org/10.1175/2007JAMC1442.1</v>
      </c>
      <c r="BG739" t="s">
        <v>74</v>
      </c>
      <c r="BH739" t="s">
        <v>74</v>
      </c>
      <c r="BI739">
        <v>23</v>
      </c>
      <c r="BJ739" t="s">
        <v>204</v>
      </c>
      <c r="BK739" t="s">
        <v>97</v>
      </c>
      <c r="BL739" t="s">
        <v>204</v>
      </c>
      <c r="BM739" t="s">
        <v>12224</v>
      </c>
      <c r="BN739" t="s">
        <v>74</v>
      </c>
      <c r="BO739" t="s">
        <v>649</v>
      </c>
      <c r="BP739" t="s">
        <v>74</v>
      </c>
      <c r="BQ739" t="s">
        <v>74</v>
      </c>
      <c r="BR739" t="s">
        <v>100</v>
      </c>
      <c r="BS739" t="s">
        <v>12225</v>
      </c>
      <c r="BT739" t="str">
        <f>HYPERLINK("https%3A%2F%2Fwww.webofscience.com%2Fwos%2Fwoscc%2Ffull-record%2FWOS:000251626900016","View Full Record in Web of Science")</f>
        <v>View Full Record in Web of Science</v>
      </c>
    </row>
    <row r="740" spans="1:72" x14ac:dyDescent="0.15">
      <c r="A740" t="s">
        <v>72</v>
      </c>
      <c r="B740" t="s">
        <v>12226</v>
      </c>
      <c r="C740" t="s">
        <v>74</v>
      </c>
      <c r="D740" t="s">
        <v>74</v>
      </c>
      <c r="E740" t="s">
        <v>74</v>
      </c>
      <c r="F740" t="s">
        <v>12227</v>
      </c>
      <c r="G740" t="s">
        <v>74</v>
      </c>
      <c r="H740" t="s">
        <v>74</v>
      </c>
      <c r="I740" t="s">
        <v>12228</v>
      </c>
      <c r="J740" t="s">
        <v>10203</v>
      </c>
      <c r="K740" t="s">
        <v>74</v>
      </c>
      <c r="L740" t="s">
        <v>74</v>
      </c>
      <c r="M740" t="s">
        <v>78</v>
      </c>
      <c r="N740" t="s">
        <v>79</v>
      </c>
      <c r="O740" t="s">
        <v>74</v>
      </c>
      <c r="P740" t="s">
        <v>74</v>
      </c>
      <c r="Q740" t="s">
        <v>74</v>
      </c>
      <c r="R740" t="s">
        <v>74</v>
      </c>
      <c r="S740" t="s">
        <v>74</v>
      </c>
      <c r="T740" t="s">
        <v>12229</v>
      </c>
      <c r="U740" t="s">
        <v>12230</v>
      </c>
      <c r="V740" t="s">
        <v>12231</v>
      </c>
      <c r="W740" t="s">
        <v>12232</v>
      </c>
      <c r="X740" t="s">
        <v>12233</v>
      </c>
      <c r="Y740" t="s">
        <v>12234</v>
      </c>
      <c r="Z740" t="s">
        <v>12235</v>
      </c>
      <c r="AA740" t="s">
        <v>12236</v>
      </c>
      <c r="AB740" t="s">
        <v>12237</v>
      </c>
      <c r="AC740" t="s">
        <v>74</v>
      </c>
      <c r="AD740" t="s">
        <v>74</v>
      </c>
      <c r="AE740" t="s">
        <v>74</v>
      </c>
      <c r="AF740" t="s">
        <v>74</v>
      </c>
      <c r="AG740">
        <v>24</v>
      </c>
      <c r="AH740">
        <v>8</v>
      </c>
      <c r="AI740">
        <v>9</v>
      </c>
      <c r="AJ740">
        <v>2</v>
      </c>
      <c r="AK740">
        <v>10</v>
      </c>
      <c r="AL740" t="s">
        <v>521</v>
      </c>
      <c r="AM740" t="s">
        <v>522</v>
      </c>
      <c r="AN740" t="s">
        <v>523</v>
      </c>
      <c r="AO740" t="s">
        <v>10216</v>
      </c>
      <c r="AP740" t="s">
        <v>74</v>
      </c>
      <c r="AQ740" t="s">
        <v>74</v>
      </c>
      <c r="AR740" t="s">
        <v>10218</v>
      </c>
      <c r="AS740" t="s">
        <v>10219</v>
      </c>
      <c r="AT740" t="s">
        <v>11510</v>
      </c>
      <c r="AU740">
        <v>2007</v>
      </c>
      <c r="AV740">
        <v>69</v>
      </c>
      <c r="AW740">
        <v>15</v>
      </c>
      <c r="AX740" t="s">
        <v>74</v>
      </c>
      <c r="AY740" t="s">
        <v>74</v>
      </c>
      <c r="AZ740" t="s">
        <v>74</v>
      </c>
      <c r="BA740" t="s">
        <v>74</v>
      </c>
      <c r="BB740">
        <v>1797</v>
      </c>
      <c r="BC740">
        <v>1812</v>
      </c>
      <c r="BD740" t="s">
        <v>74</v>
      </c>
      <c r="BE740" t="s">
        <v>12238</v>
      </c>
      <c r="BF740" t="str">
        <f>HYPERLINK("http://dx.doi.org/10.1016/j.jastp.2007.07.013","http://dx.doi.org/10.1016/j.jastp.2007.07.013")</f>
        <v>http://dx.doi.org/10.1016/j.jastp.2007.07.013</v>
      </c>
      <c r="BG740" t="s">
        <v>74</v>
      </c>
      <c r="BH740" t="s">
        <v>74</v>
      </c>
      <c r="BI740">
        <v>16</v>
      </c>
      <c r="BJ740" t="s">
        <v>10222</v>
      </c>
      <c r="BK740" t="s">
        <v>97</v>
      </c>
      <c r="BL740" t="s">
        <v>10222</v>
      </c>
      <c r="BM740" t="s">
        <v>12239</v>
      </c>
      <c r="BN740" t="s">
        <v>74</v>
      </c>
      <c r="BO740" t="s">
        <v>74</v>
      </c>
      <c r="BP740" t="s">
        <v>74</v>
      </c>
      <c r="BQ740" t="s">
        <v>74</v>
      </c>
      <c r="BR740" t="s">
        <v>100</v>
      </c>
      <c r="BS740" t="s">
        <v>12240</v>
      </c>
      <c r="BT740" t="str">
        <f>HYPERLINK("https%3A%2F%2Fwww.webofscience.com%2Fwos%2Fwoscc%2Ffull-record%2FWOS:000251490700002","View Full Record in Web of Science")</f>
        <v>View Full Record in Web of Science</v>
      </c>
    </row>
    <row r="741" spans="1:72" x14ac:dyDescent="0.15">
      <c r="A741" t="s">
        <v>72</v>
      </c>
      <c r="B741" t="s">
        <v>12241</v>
      </c>
      <c r="C741" t="s">
        <v>74</v>
      </c>
      <c r="D741" t="s">
        <v>74</v>
      </c>
      <c r="E741" t="s">
        <v>74</v>
      </c>
      <c r="F741" t="s">
        <v>12242</v>
      </c>
      <c r="G741" t="s">
        <v>74</v>
      </c>
      <c r="H741" t="s">
        <v>74</v>
      </c>
      <c r="I741" t="s">
        <v>12243</v>
      </c>
      <c r="J741" t="s">
        <v>574</v>
      </c>
      <c r="K741" t="s">
        <v>74</v>
      </c>
      <c r="L741" t="s">
        <v>74</v>
      </c>
      <c r="M741" t="s">
        <v>78</v>
      </c>
      <c r="N741" t="s">
        <v>79</v>
      </c>
      <c r="O741" t="s">
        <v>74</v>
      </c>
      <c r="P741" t="s">
        <v>74</v>
      </c>
      <c r="Q741" t="s">
        <v>74</v>
      </c>
      <c r="R741" t="s">
        <v>74</v>
      </c>
      <c r="S741" t="s">
        <v>74</v>
      </c>
      <c r="T741" t="s">
        <v>74</v>
      </c>
      <c r="U741" t="s">
        <v>12244</v>
      </c>
      <c r="V741" t="s">
        <v>12245</v>
      </c>
      <c r="W741" t="s">
        <v>12246</v>
      </c>
      <c r="X741" t="s">
        <v>12247</v>
      </c>
      <c r="Y741" t="s">
        <v>12248</v>
      </c>
      <c r="Z741" t="s">
        <v>12249</v>
      </c>
      <c r="AA741" t="s">
        <v>12250</v>
      </c>
      <c r="AB741" t="s">
        <v>12251</v>
      </c>
      <c r="AC741" t="s">
        <v>74</v>
      </c>
      <c r="AD741" t="s">
        <v>74</v>
      </c>
      <c r="AE741" t="s">
        <v>74</v>
      </c>
      <c r="AF741" t="s">
        <v>74</v>
      </c>
      <c r="AG741">
        <v>24</v>
      </c>
      <c r="AH741">
        <v>121</v>
      </c>
      <c r="AI741">
        <v>134</v>
      </c>
      <c r="AJ741">
        <v>1</v>
      </c>
      <c r="AK741">
        <v>24</v>
      </c>
      <c r="AL741" t="s">
        <v>583</v>
      </c>
      <c r="AM741" t="s">
        <v>584</v>
      </c>
      <c r="AN741" t="s">
        <v>585</v>
      </c>
      <c r="AO741" t="s">
        <v>586</v>
      </c>
      <c r="AP741" t="s">
        <v>587</v>
      </c>
      <c r="AQ741" t="s">
        <v>74</v>
      </c>
      <c r="AR741" t="s">
        <v>588</v>
      </c>
      <c r="AS741" t="s">
        <v>589</v>
      </c>
      <c r="AT741" t="s">
        <v>12252</v>
      </c>
      <c r="AU741">
        <v>2007</v>
      </c>
      <c r="AV741">
        <v>20</v>
      </c>
      <c r="AW741">
        <v>21</v>
      </c>
      <c r="AX741" t="s">
        <v>74</v>
      </c>
      <c r="AY741" t="s">
        <v>74</v>
      </c>
      <c r="AZ741" t="s">
        <v>74</v>
      </c>
      <c r="BA741" t="s">
        <v>74</v>
      </c>
      <c r="BB741">
        <v>5391</v>
      </c>
      <c r="BC741">
        <v>5400</v>
      </c>
      <c r="BD741" t="s">
        <v>74</v>
      </c>
      <c r="BE741" t="s">
        <v>12253</v>
      </c>
      <c r="BF741" t="str">
        <f>HYPERLINK("http://dx.doi.org/10.1175/2007JCLI1764.1","http://dx.doi.org/10.1175/2007JCLI1764.1")</f>
        <v>http://dx.doi.org/10.1175/2007JCLI1764.1</v>
      </c>
      <c r="BG741" t="s">
        <v>74</v>
      </c>
      <c r="BH741" t="s">
        <v>74</v>
      </c>
      <c r="BI741">
        <v>10</v>
      </c>
      <c r="BJ741" t="s">
        <v>204</v>
      </c>
      <c r="BK741" t="s">
        <v>97</v>
      </c>
      <c r="BL741" t="s">
        <v>204</v>
      </c>
      <c r="BM741" t="s">
        <v>12254</v>
      </c>
      <c r="BN741" t="s">
        <v>74</v>
      </c>
      <c r="BO741" t="s">
        <v>649</v>
      </c>
      <c r="BP741" t="s">
        <v>74</v>
      </c>
      <c r="BQ741" t="s">
        <v>74</v>
      </c>
      <c r="BR741" t="s">
        <v>100</v>
      </c>
      <c r="BS741" t="s">
        <v>12255</v>
      </c>
      <c r="BT741" t="str">
        <f>HYPERLINK("https%3A%2F%2Fwww.webofscience.com%2Fwos%2Fwoscc%2Ffull-record%2FWOS:000250871100013","View Full Record in Web of Science")</f>
        <v>View Full Record in Web of Science</v>
      </c>
    </row>
    <row r="742" spans="1:72" x14ac:dyDescent="0.15">
      <c r="A742" t="s">
        <v>72</v>
      </c>
      <c r="B742" t="s">
        <v>12256</v>
      </c>
      <c r="C742" t="s">
        <v>74</v>
      </c>
      <c r="D742" t="s">
        <v>74</v>
      </c>
      <c r="E742" t="s">
        <v>74</v>
      </c>
      <c r="F742" t="s">
        <v>12257</v>
      </c>
      <c r="G742" t="s">
        <v>74</v>
      </c>
      <c r="H742" t="s">
        <v>74</v>
      </c>
      <c r="I742" t="s">
        <v>12258</v>
      </c>
      <c r="J742" t="s">
        <v>574</v>
      </c>
      <c r="K742" t="s">
        <v>74</v>
      </c>
      <c r="L742" t="s">
        <v>74</v>
      </c>
      <c r="M742" t="s">
        <v>78</v>
      </c>
      <c r="N742" t="s">
        <v>79</v>
      </c>
      <c r="O742" t="s">
        <v>74</v>
      </c>
      <c r="P742" t="s">
        <v>74</v>
      </c>
      <c r="Q742" t="s">
        <v>74</v>
      </c>
      <c r="R742" t="s">
        <v>74</v>
      </c>
      <c r="S742" t="s">
        <v>74</v>
      </c>
      <c r="T742" t="s">
        <v>74</v>
      </c>
      <c r="U742" t="s">
        <v>12259</v>
      </c>
      <c r="V742" t="s">
        <v>12260</v>
      </c>
      <c r="W742" t="s">
        <v>12261</v>
      </c>
      <c r="X742" t="s">
        <v>1068</v>
      </c>
      <c r="Y742" t="s">
        <v>12262</v>
      </c>
      <c r="Z742" t="s">
        <v>12263</v>
      </c>
      <c r="AA742" t="s">
        <v>12264</v>
      </c>
      <c r="AB742" t="s">
        <v>12265</v>
      </c>
      <c r="AC742" t="s">
        <v>74</v>
      </c>
      <c r="AD742" t="s">
        <v>74</v>
      </c>
      <c r="AE742" t="s">
        <v>74</v>
      </c>
      <c r="AF742" t="s">
        <v>74</v>
      </c>
      <c r="AG742">
        <v>53</v>
      </c>
      <c r="AH742">
        <v>71</v>
      </c>
      <c r="AI742">
        <v>75</v>
      </c>
      <c r="AJ742">
        <v>0</v>
      </c>
      <c r="AK742">
        <v>25</v>
      </c>
      <c r="AL742" t="s">
        <v>583</v>
      </c>
      <c r="AM742" t="s">
        <v>584</v>
      </c>
      <c r="AN742" t="s">
        <v>585</v>
      </c>
      <c r="AO742" t="s">
        <v>586</v>
      </c>
      <c r="AP742" t="s">
        <v>587</v>
      </c>
      <c r="AQ742" t="s">
        <v>74</v>
      </c>
      <c r="AR742" t="s">
        <v>588</v>
      </c>
      <c r="AS742" t="s">
        <v>589</v>
      </c>
      <c r="AT742" t="s">
        <v>12252</v>
      </c>
      <c r="AU742">
        <v>2007</v>
      </c>
      <c r="AV742">
        <v>20</v>
      </c>
      <c r="AW742">
        <v>21</v>
      </c>
      <c r="AX742" t="s">
        <v>74</v>
      </c>
      <c r="AY742" t="s">
        <v>74</v>
      </c>
      <c r="AZ742" t="s">
        <v>74</v>
      </c>
      <c r="BA742" t="s">
        <v>74</v>
      </c>
      <c r="BB742">
        <v>5418</v>
      </c>
      <c r="BC742">
        <v>5440</v>
      </c>
      <c r="BD742" t="s">
        <v>74</v>
      </c>
      <c r="BE742" t="s">
        <v>12266</v>
      </c>
      <c r="BF742" t="str">
        <f>HYPERLINK("http://dx.doi.org/10.1175/2007JCLI1430.1","http://dx.doi.org/10.1175/2007JCLI1430.1")</f>
        <v>http://dx.doi.org/10.1175/2007JCLI1430.1</v>
      </c>
      <c r="BG742" t="s">
        <v>74</v>
      </c>
      <c r="BH742" t="s">
        <v>74</v>
      </c>
      <c r="BI742">
        <v>23</v>
      </c>
      <c r="BJ742" t="s">
        <v>204</v>
      </c>
      <c r="BK742" t="s">
        <v>97</v>
      </c>
      <c r="BL742" t="s">
        <v>204</v>
      </c>
      <c r="BM742" t="s">
        <v>12254</v>
      </c>
      <c r="BN742" t="s">
        <v>74</v>
      </c>
      <c r="BO742" t="s">
        <v>179</v>
      </c>
      <c r="BP742" t="s">
        <v>74</v>
      </c>
      <c r="BQ742" t="s">
        <v>74</v>
      </c>
      <c r="BR742" t="s">
        <v>100</v>
      </c>
      <c r="BS742" t="s">
        <v>12267</v>
      </c>
      <c r="BT742" t="str">
        <f>HYPERLINK("https%3A%2F%2Fwww.webofscience.com%2Fwos%2Fwoscc%2Ffull-record%2FWOS:000250871100015","View Full Record in Web of Science")</f>
        <v>View Full Record in Web of Science</v>
      </c>
    </row>
    <row r="743" spans="1:72" x14ac:dyDescent="0.15">
      <c r="A743" t="s">
        <v>72</v>
      </c>
      <c r="B743" t="s">
        <v>12268</v>
      </c>
      <c r="C743" t="s">
        <v>74</v>
      </c>
      <c r="D743" t="s">
        <v>74</v>
      </c>
      <c r="E743" t="s">
        <v>74</v>
      </c>
      <c r="F743" t="s">
        <v>12269</v>
      </c>
      <c r="G743" t="s">
        <v>74</v>
      </c>
      <c r="H743" t="s">
        <v>74</v>
      </c>
      <c r="I743" t="s">
        <v>12270</v>
      </c>
      <c r="J743" t="s">
        <v>12271</v>
      </c>
      <c r="K743" t="s">
        <v>74</v>
      </c>
      <c r="L743" t="s">
        <v>74</v>
      </c>
      <c r="M743" t="s">
        <v>78</v>
      </c>
      <c r="N743" t="s">
        <v>79</v>
      </c>
      <c r="O743" t="s">
        <v>74</v>
      </c>
      <c r="P743" t="s">
        <v>74</v>
      </c>
      <c r="Q743" t="s">
        <v>74</v>
      </c>
      <c r="R743" t="s">
        <v>74</v>
      </c>
      <c r="S743" t="s">
        <v>74</v>
      </c>
      <c r="T743" t="s">
        <v>12272</v>
      </c>
      <c r="U743" t="s">
        <v>12273</v>
      </c>
      <c r="V743" t="s">
        <v>12274</v>
      </c>
      <c r="W743" t="s">
        <v>12275</v>
      </c>
      <c r="X743" t="s">
        <v>12276</v>
      </c>
      <c r="Y743" t="s">
        <v>12277</v>
      </c>
      <c r="Z743" t="s">
        <v>12278</v>
      </c>
      <c r="AA743" t="s">
        <v>74</v>
      </c>
      <c r="AB743" t="s">
        <v>12279</v>
      </c>
      <c r="AC743" t="s">
        <v>74</v>
      </c>
      <c r="AD743" t="s">
        <v>74</v>
      </c>
      <c r="AE743" t="s">
        <v>74</v>
      </c>
      <c r="AF743" t="s">
        <v>74</v>
      </c>
      <c r="AG743">
        <v>60</v>
      </c>
      <c r="AH743">
        <v>32</v>
      </c>
      <c r="AI743">
        <v>41</v>
      </c>
      <c r="AJ743">
        <v>0</v>
      </c>
      <c r="AK743">
        <v>15</v>
      </c>
      <c r="AL743" t="s">
        <v>1240</v>
      </c>
      <c r="AM743" t="s">
        <v>1241</v>
      </c>
      <c r="AN743" t="s">
        <v>1242</v>
      </c>
      <c r="AO743" t="s">
        <v>5262</v>
      </c>
      <c r="AP743" t="s">
        <v>74</v>
      </c>
      <c r="AQ743" t="s">
        <v>74</v>
      </c>
      <c r="AR743" t="s">
        <v>5264</v>
      </c>
      <c r="AS743" t="s">
        <v>5265</v>
      </c>
      <c r="AT743" t="s">
        <v>11510</v>
      </c>
      <c r="AU743">
        <v>2007</v>
      </c>
      <c r="AV743">
        <v>177</v>
      </c>
      <c r="AW743">
        <v>8</v>
      </c>
      <c r="AX743" t="s">
        <v>74</v>
      </c>
      <c r="AY743" t="s">
        <v>74</v>
      </c>
      <c r="AZ743" t="s">
        <v>74</v>
      </c>
      <c r="BA743" t="s">
        <v>74</v>
      </c>
      <c r="BB743">
        <v>893</v>
      </c>
      <c r="BC743">
        <v>903</v>
      </c>
      <c r="BD743" t="s">
        <v>74</v>
      </c>
      <c r="BE743" t="s">
        <v>12280</v>
      </c>
      <c r="BF743" t="str">
        <f>HYPERLINK("http://dx.doi.org/10.1007/s00360-007-0187-y","http://dx.doi.org/10.1007/s00360-007-0187-y")</f>
        <v>http://dx.doi.org/10.1007/s00360-007-0187-y</v>
      </c>
      <c r="BG743" t="s">
        <v>74</v>
      </c>
      <c r="BH743" t="s">
        <v>74</v>
      </c>
      <c r="BI743">
        <v>11</v>
      </c>
      <c r="BJ743" t="s">
        <v>5267</v>
      </c>
      <c r="BK743" t="s">
        <v>97</v>
      </c>
      <c r="BL743" t="s">
        <v>5267</v>
      </c>
      <c r="BM743" t="s">
        <v>12281</v>
      </c>
      <c r="BN743">
        <v>17712565</v>
      </c>
      <c r="BO743" t="s">
        <v>74</v>
      </c>
      <c r="BP743" t="s">
        <v>74</v>
      </c>
      <c r="BQ743" t="s">
        <v>74</v>
      </c>
      <c r="BR743" t="s">
        <v>100</v>
      </c>
      <c r="BS743" t="s">
        <v>12282</v>
      </c>
      <c r="BT743" t="str">
        <f>HYPERLINK("https%3A%2F%2Fwww.webofscience.com%2Fwos%2Fwoscc%2Ffull-record%2FWOS:000250919600008","View Full Record in Web of Science")</f>
        <v>View Full Record in Web of Science</v>
      </c>
    </row>
    <row r="744" spans="1:72" x14ac:dyDescent="0.15">
      <c r="A744" t="s">
        <v>72</v>
      </c>
      <c r="B744" t="s">
        <v>12283</v>
      </c>
      <c r="C744" t="s">
        <v>74</v>
      </c>
      <c r="D744" t="s">
        <v>74</v>
      </c>
      <c r="E744" t="s">
        <v>74</v>
      </c>
      <c r="F744" t="s">
        <v>12284</v>
      </c>
      <c r="G744" t="s">
        <v>74</v>
      </c>
      <c r="H744" t="s">
        <v>74</v>
      </c>
      <c r="I744" t="s">
        <v>12285</v>
      </c>
      <c r="J744" t="s">
        <v>5252</v>
      </c>
      <c r="K744" t="s">
        <v>74</v>
      </c>
      <c r="L744" t="s">
        <v>74</v>
      </c>
      <c r="M744" t="s">
        <v>78</v>
      </c>
      <c r="N744" t="s">
        <v>79</v>
      </c>
      <c r="O744" t="s">
        <v>74</v>
      </c>
      <c r="P744" t="s">
        <v>74</v>
      </c>
      <c r="Q744" t="s">
        <v>74</v>
      </c>
      <c r="R744" t="s">
        <v>74</v>
      </c>
      <c r="S744" t="s">
        <v>74</v>
      </c>
      <c r="T744" t="s">
        <v>12286</v>
      </c>
      <c r="U744" t="s">
        <v>12287</v>
      </c>
      <c r="V744" t="s">
        <v>12288</v>
      </c>
      <c r="W744" t="s">
        <v>12289</v>
      </c>
      <c r="X744" t="s">
        <v>12290</v>
      </c>
      <c r="Y744" t="s">
        <v>12291</v>
      </c>
      <c r="Z744" t="s">
        <v>12292</v>
      </c>
      <c r="AA744" t="s">
        <v>74</v>
      </c>
      <c r="AB744" t="s">
        <v>74</v>
      </c>
      <c r="AC744" t="s">
        <v>74</v>
      </c>
      <c r="AD744" t="s">
        <v>74</v>
      </c>
      <c r="AE744" t="s">
        <v>74</v>
      </c>
      <c r="AF744" t="s">
        <v>74</v>
      </c>
      <c r="AG744">
        <v>57</v>
      </c>
      <c r="AH744">
        <v>89</v>
      </c>
      <c r="AI744">
        <v>101</v>
      </c>
      <c r="AJ744">
        <v>3</v>
      </c>
      <c r="AK744">
        <v>28</v>
      </c>
      <c r="AL744" t="s">
        <v>1240</v>
      </c>
      <c r="AM744" t="s">
        <v>1241</v>
      </c>
      <c r="AN744" t="s">
        <v>1242</v>
      </c>
      <c r="AO744" t="s">
        <v>5262</v>
      </c>
      <c r="AP744" t="s">
        <v>5263</v>
      </c>
      <c r="AQ744" t="s">
        <v>74</v>
      </c>
      <c r="AR744" t="s">
        <v>5264</v>
      </c>
      <c r="AS744" t="s">
        <v>5265</v>
      </c>
      <c r="AT744" t="s">
        <v>11510</v>
      </c>
      <c r="AU744">
        <v>2007</v>
      </c>
      <c r="AV744">
        <v>177</v>
      </c>
      <c r="AW744">
        <v>8</v>
      </c>
      <c r="AX744" t="s">
        <v>74</v>
      </c>
      <c r="AY744" t="s">
        <v>74</v>
      </c>
      <c r="AZ744" t="s">
        <v>74</v>
      </c>
      <c r="BA744" t="s">
        <v>74</v>
      </c>
      <c r="BB744">
        <v>857</v>
      </c>
      <c r="BC744">
        <v>866</v>
      </c>
      <c r="BD744" t="s">
        <v>74</v>
      </c>
      <c r="BE744" t="s">
        <v>12293</v>
      </c>
      <c r="BF744" t="str">
        <f>HYPERLINK("http://dx.doi.org/10.1007/s00360-007-0183-2","http://dx.doi.org/10.1007/s00360-007-0183-2")</f>
        <v>http://dx.doi.org/10.1007/s00360-007-0183-2</v>
      </c>
      <c r="BG744" t="s">
        <v>74</v>
      </c>
      <c r="BH744" t="s">
        <v>74</v>
      </c>
      <c r="BI744">
        <v>10</v>
      </c>
      <c r="BJ744" t="s">
        <v>5267</v>
      </c>
      <c r="BK744" t="s">
        <v>97</v>
      </c>
      <c r="BL744" t="s">
        <v>5267</v>
      </c>
      <c r="BM744" t="s">
        <v>12281</v>
      </c>
      <c r="BN744">
        <v>17710411</v>
      </c>
      <c r="BO744" t="s">
        <v>74</v>
      </c>
      <c r="BP744" t="s">
        <v>74</v>
      </c>
      <c r="BQ744" t="s">
        <v>74</v>
      </c>
      <c r="BR744" t="s">
        <v>100</v>
      </c>
      <c r="BS744" t="s">
        <v>12294</v>
      </c>
      <c r="BT744" t="str">
        <f>HYPERLINK("https%3A%2F%2Fwww.webofscience.com%2Fwos%2Fwoscc%2Ffull-record%2FWOS:000250919600004","View Full Record in Web of Science")</f>
        <v>View Full Record in Web of Science</v>
      </c>
    </row>
    <row r="745" spans="1:72" x14ac:dyDescent="0.15">
      <c r="A745" t="s">
        <v>72</v>
      </c>
      <c r="B745" t="s">
        <v>12295</v>
      </c>
      <c r="C745" t="s">
        <v>74</v>
      </c>
      <c r="D745" t="s">
        <v>74</v>
      </c>
      <c r="E745" t="s">
        <v>74</v>
      </c>
      <c r="F745" t="s">
        <v>12296</v>
      </c>
      <c r="G745" t="s">
        <v>74</v>
      </c>
      <c r="H745" t="s">
        <v>74</v>
      </c>
      <c r="I745" t="s">
        <v>12297</v>
      </c>
      <c r="J745" t="s">
        <v>12298</v>
      </c>
      <c r="K745" t="s">
        <v>74</v>
      </c>
      <c r="L745" t="s">
        <v>74</v>
      </c>
      <c r="M745" t="s">
        <v>78</v>
      </c>
      <c r="N745" t="s">
        <v>79</v>
      </c>
      <c r="O745" t="s">
        <v>74</v>
      </c>
      <c r="P745" t="s">
        <v>74</v>
      </c>
      <c r="Q745" t="s">
        <v>74</v>
      </c>
      <c r="R745" t="s">
        <v>74</v>
      </c>
      <c r="S745" t="s">
        <v>74</v>
      </c>
      <c r="T745" t="s">
        <v>74</v>
      </c>
      <c r="U745" t="s">
        <v>12299</v>
      </c>
      <c r="V745" t="s">
        <v>12300</v>
      </c>
      <c r="W745" t="s">
        <v>12301</v>
      </c>
      <c r="X745" t="s">
        <v>12302</v>
      </c>
      <c r="Y745" t="s">
        <v>12303</v>
      </c>
      <c r="Z745" t="s">
        <v>12304</v>
      </c>
      <c r="AA745" t="s">
        <v>74</v>
      </c>
      <c r="AB745" t="s">
        <v>12305</v>
      </c>
      <c r="AC745" t="s">
        <v>74</v>
      </c>
      <c r="AD745" t="s">
        <v>74</v>
      </c>
      <c r="AE745" t="s">
        <v>74</v>
      </c>
      <c r="AF745" t="s">
        <v>74</v>
      </c>
      <c r="AG745">
        <v>31</v>
      </c>
      <c r="AH745">
        <v>17</v>
      </c>
      <c r="AI745">
        <v>18</v>
      </c>
      <c r="AJ745">
        <v>1</v>
      </c>
      <c r="AK745">
        <v>3</v>
      </c>
      <c r="AL745" t="s">
        <v>2678</v>
      </c>
      <c r="AM745" t="s">
        <v>522</v>
      </c>
      <c r="AN745" t="s">
        <v>4192</v>
      </c>
      <c r="AO745" t="s">
        <v>12306</v>
      </c>
      <c r="AP745" t="s">
        <v>12307</v>
      </c>
      <c r="AQ745" t="s">
        <v>74</v>
      </c>
      <c r="AR745" t="s">
        <v>12308</v>
      </c>
      <c r="AS745" t="s">
        <v>12309</v>
      </c>
      <c r="AT745" t="s">
        <v>11510</v>
      </c>
      <c r="AU745">
        <v>2007</v>
      </c>
      <c r="AV745">
        <v>27</v>
      </c>
      <c r="AW745">
        <v>4</v>
      </c>
      <c r="AX745" t="s">
        <v>74</v>
      </c>
      <c r="AY745" t="s">
        <v>74</v>
      </c>
      <c r="AZ745" t="s">
        <v>74</v>
      </c>
      <c r="BA745" t="s">
        <v>74</v>
      </c>
      <c r="BB745">
        <v>681</v>
      </c>
      <c r="BC745">
        <v>692</v>
      </c>
      <c r="BD745" t="s">
        <v>74</v>
      </c>
      <c r="BE745" t="s">
        <v>12310</v>
      </c>
      <c r="BF745" t="str">
        <f>HYPERLINK("http://dx.doi.org/10.1651/S-2794.1","http://dx.doi.org/10.1651/S-2794.1")</f>
        <v>http://dx.doi.org/10.1651/S-2794.1</v>
      </c>
      <c r="BG745" t="s">
        <v>74</v>
      </c>
      <c r="BH745" t="s">
        <v>74</v>
      </c>
      <c r="BI745">
        <v>12</v>
      </c>
      <c r="BJ745" t="s">
        <v>5098</v>
      </c>
      <c r="BK745" t="s">
        <v>97</v>
      </c>
      <c r="BL745" t="s">
        <v>5098</v>
      </c>
      <c r="BM745" t="s">
        <v>12311</v>
      </c>
      <c r="BN745" t="s">
        <v>74</v>
      </c>
      <c r="BO745" t="s">
        <v>610</v>
      </c>
      <c r="BP745" t="s">
        <v>74</v>
      </c>
      <c r="BQ745" t="s">
        <v>74</v>
      </c>
      <c r="BR745" t="s">
        <v>100</v>
      </c>
      <c r="BS745" t="s">
        <v>12312</v>
      </c>
      <c r="BT745" t="str">
        <f>HYPERLINK("https%3A%2F%2Fwww.webofscience.com%2Fwos%2Fwoscc%2Ffull-record%2FWOS:000250606700019","View Full Record in Web of Science")</f>
        <v>View Full Record in Web of Science</v>
      </c>
    </row>
    <row r="746" spans="1:72" x14ac:dyDescent="0.15">
      <c r="A746" t="s">
        <v>72</v>
      </c>
      <c r="B746" t="s">
        <v>12313</v>
      </c>
      <c r="C746" t="s">
        <v>74</v>
      </c>
      <c r="D746" t="s">
        <v>74</v>
      </c>
      <c r="E746" t="s">
        <v>74</v>
      </c>
      <c r="F746" t="s">
        <v>12314</v>
      </c>
      <c r="G746" t="s">
        <v>74</v>
      </c>
      <c r="H746" t="s">
        <v>74</v>
      </c>
      <c r="I746" t="s">
        <v>12315</v>
      </c>
      <c r="J746" t="s">
        <v>10309</v>
      </c>
      <c r="K746" t="s">
        <v>74</v>
      </c>
      <c r="L746" t="s">
        <v>74</v>
      </c>
      <c r="M746" t="s">
        <v>78</v>
      </c>
      <c r="N746" t="s">
        <v>79</v>
      </c>
      <c r="O746" t="s">
        <v>74</v>
      </c>
      <c r="P746" t="s">
        <v>74</v>
      </c>
      <c r="Q746" t="s">
        <v>74</v>
      </c>
      <c r="R746" t="s">
        <v>74</v>
      </c>
      <c r="S746" t="s">
        <v>74</v>
      </c>
      <c r="T746" t="s">
        <v>12316</v>
      </c>
      <c r="U746" t="s">
        <v>12317</v>
      </c>
      <c r="V746" t="s">
        <v>12318</v>
      </c>
      <c r="W746" t="s">
        <v>12319</v>
      </c>
      <c r="X746" t="s">
        <v>12320</v>
      </c>
      <c r="Y746" t="s">
        <v>12321</v>
      </c>
      <c r="Z746" t="s">
        <v>12322</v>
      </c>
      <c r="AA746" t="s">
        <v>12323</v>
      </c>
      <c r="AB746" t="s">
        <v>12324</v>
      </c>
      <c r="AC746" t="s">
        <v>74</v>
      </c>
      <c r="AD746" t="s">
        <v>74</v>
      </c>
      <c r="AE746" t="s">
        <v>74</v>
      </c>
      <c r="AF746" t="s">
        <v>74</v>
      </c>
      <c r="AG746">
        <v>30</v>
      </c>
      <c r="AH746">
        <v>75</v>
      </c>
      <c r="AI746">
        <v>85</v>
      </c>
      <c r="AJ746">
        <v>1</v>
      </c>
      <c r="AK746">
        <v>20</v>
      </c>
      <c r="AL746" t="s">
        <v>265</v>
      </c>
      <c r="AM746" t="s">
        <v>266</v>
      </c>
      <c r="AN746" t="s">
        <v>267</v>
      </c>
      <c r="AO746" t="s">
        <v>10319</v>
      </c>
      <c r="AP746" t="s">
        <v>10320</v>
      </c>
      <c r="AQ746" t="s">
        <v>74</v>
      </c>
      <c r="AR746" t="s">
        <v>10321</v>
      </c>
      <c r="AS746" t="s">
        <v>10322</v>
      </c>
      <c r="AT746" t="s">
        <v>11510</v>
      </c>
      <c r="AU746">
        <v>2007</v>
      </c>
      <c r="AV746">
        <v>68</v>
      </c>
      <c r="AW746" t="s">
        <v>551</v>
      </c>
      <c r="AX746" t="s">
        <v>74</v>
      </c>
      <c r="AY746" t="s">
        <v>74</v>
      </c>
      <c r="AZ746" t="s">
        <v>74</v>
      </c>
      <c r="BA746" t="s">
        <v>74</v>
      </c>
      <c r="BB746">
        <v>201</v>
      </c>
      <c r="BC746">
        <v>214</v>
      </c>
      <c r="BD746" t="s">
        <v>74</v>
      </c>
      <c r="BE746" t="s">
        <v>12325</v>
      </c>
      <c r="BF746" t="str">
        <f>HYPERLINK("http://dx.doi.org/10.1016/j.jmarsys.2006.11.008","http://dx.doi.org/10.1016/j.jmarsys.2006.11.008")</f>
        <v>http://dx.doi.org/10.1016/j.jmarsys.2006.11.008</v>
      </c>
      <c r="BG746" t="s">
        <v>74</v>
      </c>
      <c r="BH746" t="s">
        <v>74</v>
      </c>
      <c r="BI746">
        <v>14</v>
      </c>
      <c r="BJ746" t="s">
        <v>10324</v>
      </c>
      <c r="BK746" t="s">
        <v>97</v>
      </c>
      <c r="BL746" t="s">
        <v>10325</v>
      </c>
      <c r="BM746" t="s">
        <v>12326</v>
      </c>
      <c r="BN746" t="s">
        <v>74</v>
      </c>
      <c r="BO746" t="s">
        <v>74</v>
      </c>
      <c r="BP746" t="s">
        <v>74</v>
      </c>
      <c r="BQ746" t="s">
        <v>74</v>
      </c>
      <c r="BR746" t="s">
        <v>100</v>
      </c>
      <c r="BS746" t="s">
        <v>12327</v>
      </c>
      <c r="BT746" t="str">
        <f>HYPERLINK("https%3A%2F%2Fwww.webofscience.com%2Fwos%2Fwoscc%2Ffull-record%2FWOS:000251003400011","View Full Record in Web of Science")</f>
        <v>View Full Record in Web of Science</v>
      </c>
    </row>
    <row r="747" spans="1:72" x14ac:dyDescent="0.15">
      <c r="A747" t="s">
        <v>72</v>
      </c>
      <c r="B747" t="s">
        <v>12328</v>
      </c>
      <c r="C747" t="s">
        <v>74</v>
      </c>
      <c r="D747" t="s">
        <v>74</v>
      </c>
      <c r="E747" t="s">
        <v>74</v>
      </c>
      <c r="F747" t="s">
        <v>12329</v>
      </c>
      <c r="G747" t="s">
        <v>74</v>
      </c>
      <c r="H747" t="s">
        <v>74</v>
      </c>
      <c r="I747" t="s">
        <v>12330</v>
      </c>
      <c r="J747" t="s">
        <v>12331</v>
      </c>
      <c r="K747" t="s">
        <v>74</v>
      </c>
      <c r="L747" t="s">
        <v>74</v>
      </c>
      <c r="M747" t="s">
        <v>78</v>
      </c>
      <c r="N747" t="s">
        <v>79</v>
      </c>
      <c r="O747" t="s">
        <v>74</v>
      </c>
      <c r="P747" t="s">
        <v>74</v>
      </c>
      <c r="Q747" t="s">
        <v>74</v>
      </c>
      <c r="R747" t="s">
        <v>74</v>
      </c>
      <c r="S747" t="s">
        <v>74</v>
      </c>
      <c r="T747" t="s">
        <v>12332</v>
      </c>
      <c r="U747" t="s">
        <v>12333</v>
      </c>
      <c r="V747" t="s">
        <v>12334</v>
      </c>
      <c r="W747" t="s">
        <v>12335</v>
      </c>
      <c r="X747" t="s">
        <v>12336</v>
      </c>
      <c r="Y747" t="s">
        <v>12337</v>
      </c>
      <c r="Z747" t="s">
        <v>12338</v>
      </c>
      <c r="AA747" t="s">
        <v>12339</v>
      </c>
      <c r="AB747" t="s">
        <v>12340</v>
      </c>
      <c r="AC747" t="s">
        <v>74</v>
      </c>
      <c r="AD747" t="s">
        <v>74</v>
      </c>
      <c r="AE747" t="s">
        <v>74</v>
      </c>
      <c r="AF747" t="s">
        <v>74</v>
      </c>
      <c r="AG747">
        <v>46</v>
      </c>
      <c r="AH747">
        <v>39</v>
      </c>
      <c r="AI747">
        <v>40</v>
      </c>
      <c r="AJ747">
        <v>0</v>
      </c>
      <c r="AK747">
        <v>7</v>
      </c>
      <c r="AL747" t="s">
        <v>1265</v>
      </c>
      <c r="AM747" t="s">
        <v>662</v>
      </c>
      <c r="AN747" t="s">
        <v>1266</v>
      </c>
      <c r="AO747" t="s">
        <v>12341</v>
      </c>
      <c r="AP747" t="s">
        <v>12342</v>
      </c>
      <c r="AQ747" t="s">
        <v>74</v>
      </c>
      <c r="AR747" t="s">
        <v>12343</v>
      </c>
      <c r="AS747" t="s">
        <v>12344</v>
      </c>
      <c r="AT747" t="s">
        <v>11510</v>
      </c>
      <c r="AU747">
        <v>2007</v>
      </c>
      <c r="AV747">
        <v>65</v>
      </c>
      <c r="AW747">
        <v>5</v>
      </c>
      <c r="AX747" t="s">
        <v>74</v>
      </c>
      <c r="AY747" t="s">
        <v>74</v>
      </c>
      <c r="AZ747" t="s">
        <v>74</v>
      </c>
      <c r="BA747" t="s">
        <v>74</v>
      </c>
      <c r="BB747">
        <v>519</v>
      </c>
      <c r="BC747">
        <v>528</v>
      </c>
      <c r="BD747" t="s">
        <v>74</v>
      </c>
      <c r="BE747" t="s">
        <v>12345</v>
      </c>
      <c r="BF747" t="str">
        <f>HYPERLINK("http://dx.doi.org/10.1007/s00239-007-9030-z","http://dx.doi.org/10.1007/s00239-007-9030-z")</f>
        <v>http://dx.doi.org/10.1007/s00239-007-9030-z</v>
      </c>
      <c r="BG747" t="s">
        <v>74</v>
      </c>
      <c r="BH747" t="s">
        <v>74</v>
      </c>
      <c r="BI747">
        <v>10</v>
      </c>
      <c r="BJ747" t="s">
        <v>12346</v>
      </c>
      <c r="BK747" t="s">
        <v>97</v>
      </c>
      <c r="BL747" t="s">
        <v>12346</v>
      </c>
      <c r="BM747" t="s">
        <v>12347</v>
      </c>
      <c r="BN747">
        <v>17955154</v>
      </c>
      <c r="BO747" t="s">
        <v>74</v>
      </c>
      <c r="BP747" t="s">
        <v>74</v>
      </c>
      <c r="BQ747" t="s">
        <v>74</v>
      </c>
      <c r="BR747" t="s">
        <v>100</v>
      </c>
      <c r="BS747" t="s">
        <v>12348</v>
      </c>
      <c r="BT747" t="str">
        <f>HYPERLINK("https%3A%2F%2Fwww.webofscience.com%2Fwos%2Fwoscc%2Ffull-record%2FWOS:000250922600004","View Full Record in Web of Science")</f>
        <v>View Full Record in Web of Science</v>
      </c>
    </row>
    <row r="748" spans="1:72" x14ac:dyDescent="0.15">
      <c r="A748" t="s">
        <v>72</v>
      </c>
      <c r="B748" t="s">
        <v>12349</v>
      </c>
      <c r="C748" t="s">
        <v>74</v>
      </c>
      <c r="D748" t="s">
        <v>74</v>
      </c>
      <c r="E748" t="s">
        <v>74</v>
      </c>
      <c r="F748" t="s">
        <v>12350</v>
      </c>
      <c r="G748" t="s">
        <v>74</v>
      </c>
      <c r="H748" t="s">
        <v>74</v>
      </c>
      <c r="I748" t="s">
        <v>12351</v>
      </c>
      <c r="J748" t="s">
        <v>12352</v>
      </c>
      <c r="K748" t="s">
        <v>74</v>
      </c>
      <c r="L748" t="s">
        <v>74</v>
      </c>
      <c r="M748" t="s">
        <v>78</v>
      </c>
      <c r="N748" t="s">
        <v>79</v>
      </c>
      <c r="O748" t="s">
        <v>74</v>
      </c>
      <c r="P748" t="s">
        <v>74</v>
      </c>
      <c r="Q748" t="s">
        <v>74</v>
      </c>
      <c r="R748" t="s">
        <v>74</v>
      </c>
      <c r="S748" t="s">
        <v>74</v>
      </c>
      <c r="T748" t="s">
        <v>74</v>
      </c>
      <c r="U748" t="s">
        <v>12353</v>
      </c>
      <c r="V748" t="s">
        <v>12354</v>
      </c>
      <c r="W748" t="s">
        <v>12355</v>
      </c>
      <c r="X748" t="s">
        <v>12356</v>
      </c>
      <c r="Y748" t="s">
        <v>12357</v>
      </c>
      <c r="Z748" t="s">
        <v>12358</v>
      </c>
      <c r="AA748" t="s">
        <v>12359</v>
      </c>
      <c r="AB748" t="s">
        <v>12360</v>
      </c>
      <c r="AC748" t="s">
        <v>74</v>
      </c>
      <c r="AD748" t="s">
        <v>74</v>
      </c>
      <c r="AE748" t="s">
        <v>74</v>
      </c>
      <c r="AF748" t="s">
        <v>74</v>
      </c>
      <c r="AG748">
        <v>86</v>
      </c>
      <c r="AH748">
        <v>53</v>
      </c>
      <c r="AI748">
        <v>58</v>
      </c>
      <c r="AJ748">
        <v>2</v>
      </c>
      <c r="AK748">
        <v>39</v>
      </c>
      <c r="AL748" t="s">
        <v>2678</v>
      </c>
      <c r="AM748" t="s">
        <v>522</v>
      </c>
      <c r="AN748" t="s">
        <v>4192</v>
      </c>
      <c r="AO748" t="s">
        <v>12361</v>
      </c>
      <c r="AP748" t="s">
        <v>12362</v>
      </c>
      <c r="AQ748" t="s">
        <v>74</v>
      </c>
      <c r="AR748" t="s">
        <v>12363</v>
      </c>
      <c r="AS748" t="s">
        <v>12364</v>
      </c>
      <c r="AT748" t="s">
        <v>11510</v>
      </c>
      <c r="AU748">
        <v>2007</v>
      </c>
      <c r="AV748">
        <v>73</v>
      </c>
      <c r="AW748" t="s">
        <v>74</v>
      </c>
      <c r="AX748">
        <v>4</v>
      </c>
      <c r="AY748" t="s">
        <v>74</v>
      </c>
      <c r="AZ748" t="s">
        <v>74</v>
      </c>
      <c r="BA748" t="s">
        <v>74</v>
      </c>
      <c r="BB748">
        <v>399</v>
      </c>
      <c r="BC748">
        <v>410</v>
      </c>
      <c r="BD748" t="s">
        <v>74</v>
      </c>
      <c r="BE748" t="s">
        <v>12365</v>
      </c>
      <c r="BF748" t="str">
        <f>HYPERLINK("http://dx.doi.org/10.1093/mollus/eym038","http://dx.doi.org/10.1093/mollus/eym038")</f>
        <v>http://dx.doi.org/10.1093/mollus/eym038</v>
      </c>
      <c r="BG748" t="s">
        <v>74</v>
      </c>
      <c r="BH748" t="s">
        <v>74</v>
      </c>
      <c r="BI748">
        <v>12</v>
      </c>
      <c r="BJ748" t="s">
        <v>5098</v>
      </c>
      <c r="BK748" t="s">
        <v>97</v>
      </c>
      <c r="BL748" t="s">
        <v>5098</v>
      </c>
      <c r="BM748" t="s">
        <v>12366</v>
      </c>
      <c r="BN748" t="s">
        <v>74</v>
      </c>
      <c r="BO748" t="s">
        <v>179</v>
      </c>
      <c r="BP748" t="s">
        <v>74</v>
      </c>
      <c r="BQ748" t="s">
        <v>74</v>
      </c>
      <c r="BR748" t="s">
        <v>100</v>
      </c>
      <c r="BS748" t="s">
        <v>12367</v>
      </c>
      <c r="BT748" t="str">
        <f>HYPERLINK("https%3A%2F%2Fwww.webofscience.com%2Fwos%2Fwoscc%2Ffull-record%2FWOS:000251198900010","View Full Record in Web of Science")</f>
        <v>View Full Record in Web of Science</v>
      </c>
    </row>
    <row r="749" spans="1:72" x14ac:dyDescent="0.15">
      <c r="A749" t="s">
        <v>72</v>
      </c>
      <c r="B749" t="s">
        <v>12368</v>
      </c>
      <c r="C749" t="s">
        <v>74</v>
      </c>
      <c r="D749" t="s">
        <v>74</v>
      </c>
      <c r="E749" t="s">
        <v>74</v>
      </c>
      <c r="F749" t="s">
        <v>12369</v>
      </c>
      <c r="G749" t="s">
        <v>74</v>
      </c>
      <c r="H749" t="s">
        <v>74</v>
      </c>
      <c r="I749" t="s">
        <v>12370</v>
      </c>
      <c r="J749" t="s">
        <v>12371</v>
      </c>
      <c r="K749" t="s">
        <v>74</v>
      </c>
      <c r="L749" t="s">
        <v>74</v>
      </c>
      <c r="M749" t="s">
        <v>78</v>
      </c>
      <c r="N749" t="s">
        <v>79</v>
      </c>
      <c r="O749" t="s">
        <v>74</v>
      </c>
      <c r="P749" t="s">
        <v>74</v>
      </c>
      <c r="Q749" t="s">
        <v>74</v>
      </c>
      <c r="R749" t="s">
        <v>74</v>
      </c>
      <c r="S749" t="s">
        <v>74</v>
      </c>
      <c r="T749" t="s">
        <v>74</v>
      </c>
      <c r="U749" t="s">
        <v>12372</v>
      </c>
      <c r="V749" t="s">
        <v>12373</v>
      </c>
      <c r="W749" t="s">
        <v>12374</v>
      </c>
      <c r="X749" t="s">
        <v>1068</v>
      </c>
      <c r="Y749" t="s">
        <v>12375</v>
      </c>
      <c r="Z749" t="s">
        <v>12376</v>
      </c>
      <c r="AA749" t="s">
        <v>12377</v>
      </c>
      <c r="AB749" t="s">
        <v>12378</v>
      </c>
      <c r="AC749" t="s">
        <v>74</v>
      </c>
      <c r="AD749" t="s">
        <v>74</v>
      </c>
      <c r="AE749" t="s">
        <v>74</v>
      </c>
      <c r="AF749" t="s">
        <v>74</v>
      </c>
      <c r="AG749">
        <v>47</v>
      </c>
      <c r="AH749">
        <v>10</v>
      </c>
      <c r="AI749">
        <v>10</v>
      </c>
      <c r="AJ749">
        <v>0</v>
      </c>
      <c r="AK749">
        <v>8</v>
      </c>
      <c r="AL749" t="s">
        <v>583</v>
      </c>
      <c r="AM749" t="s">
        <v>584</v>
      </c>
      <c r="AN749" t="s">
        <v>585</v>
      </c>
      <c r="AO749" t="s">
        <v>12379</v>
      </c>
      <c r="AP749" t="s">
        <v>74</v>
      </c>
      <c r="AQ749" t="s">
        <v>74</v>
      </c>
      <c r="AR749" t="s">
        <v>12380</v>
      </c>
      <c r="AS749" t="s">
        <v>12381</v>
      </c>
      <c r="AT749" t="s">
        <v>11510</v>
      </c>
      <c r="AU749">
        <v>2007</v>
      </c>
      <c r="AV749">
        <v>37</v>
      </c>
      <c r="AW749">
        <v>11</v>
      </c>
      <c r="AX749" t="s">
        <v>74</v>
      </c>
      <c r="AY749" t="s">
        <v>74</v>
      </c>
      <c r="AZ749" t="s">
        <v>74</v>
      </c>
      <c r="BA749" t="s">
        <v>74</v>
      </c>
      <c r="BB749">
        <v>2612</v>
      </c>
      <c r="BC749">
        <v>2636</v>
      </c>
      <c r="BD749" t="s">
        <v>74</v>
      </c>
      <c r="BE749" t="s">
        <v>12382</v>
      </c>
      <c r="BF749" t="str">
        <f>HYPERLINK("http://dx.doi.org/10.1175/2007JPO3644.1","http://dx.doi.org/10.1175/2007JPO3644.1")</f>
        <v>http://dx.doi.org/10.1175/2007JPO3644.1</v>
      </c>
      <c r="BG749" t="s">
        <v>74</v>
      </c>
      <c r="BH749" t="s">
        <v>74</v>
      </c>
      <c r="BI749">
        <v>25</v>
      </c>
      <c r="BJ749" t="s">
        <v>630</v>
      </c>
      <c r="BK749" t="s">
        <v>97</v>
      </c>
      <c r="BL749" t="s">
        <v>630</v>
      </c>
      <c r="BM749" t="s">
        <v>12383</v>
      </c>
      <c r="BN749" t="s">
        <v>74</v>
      </c>
      <c r="BO749" t="s">
        <v>179</v>
      </c>
      <c r="BP749" t="s">
        <v>74</v>
      </c>
      <c r="BQ749" t="s">
        <v>74</v>
      </c>
      <c r="BR749" t="s">
        <v>100</v>
      </c>
      <c r="BS749" t="s">
        <v>12384</v>
      </c>
      <c r="BT749" t="str">
        <f>HYPERLINK("https%3A%2F%2Fwww.webofscience.com%2Fwos%2Fwoscc%2Ffull-record%2FWOS:000251741600003","View Full Record in Web of Science")</f>
        <v>View Full Record in Web of Science</v>
      </c>
    </row>
    <row r="750" spans="1:72" x14ac:dyDescent="0.15">
      <c r="A750" t="s">
        <v>72</v>
      </c>
      <c r="B750" t="s">
        <v>12385</v>
      </c>
      <c r="C750" t="s">
        <v>74</v>
      </c>
      <c r="D750" t="s">
        <v>74</v>
      </c>
      <c r="E750" t="s">
        <v>74</v>
      </c>
      <c r="F750" t="s">
        <v>12386</v>
      </c>
      <c r="G750" t="s">
        <v>74</v>
      </c>
      <c r="H750" t="s">
        <v>74</v>
      </c>
      <c r="I750" t="s">
        <v>12387</v>
      </c>
      <c r="J750" t="s">
        <v>12388</v>
      </c>
      <c r="K750" t="s">
        <v>74</v>
      </c>
      <c r="L750" t="s">
        <v>74</v>
      </c>
      <c r="M750" t="s">
        <v>78</v>
      </c>
      <c r="N750" t="s">
        <v>79</v>
      </c>
      <c r="O750" t="s">
        <v>74</v>
      </c>
      <c r="P750" t="s">
        <v>74</v>
      </c>
      <c r="Q750" t="s">
        <v>74</v>
      </c>
      <c r="R750" t="s">
        <v>74</v>
      </c>
      <c r="S750" t="s">
        <v>74</v>
      </c>
      <c r="T750" t="s">
        <v>12389</v>
      </c>
      <c r="U750" t="s">
        <v>12390</v>
      </c>
      <c r="V750" t="s">
        <v>12391</v>
      </c>
      <c r="W750" t="s">
        <v>12392</v>
      </c>
      <c r="X750" t="s">
        <v>12393</v>
      </c>
      <c r="Y750" t="s">
        <v>12394</v>
      </c>
      <c r="Z750" t="s">
        <v>12395</v>
      </c>
      <c r="AA750" t="s">
        <v>12396</v>
      </c>
      <c r="AB750" t="s">
        <v>12397</v>
      </c>
      <c r="AC750" t="s">
        <v>74</v>
      </c>
      <c r="AD750" t="s">
        <v>74</v>
      </c>
      <c r="AE750" t="s">
        <v>74</v>
      </c>
      <c r="AF750" t="s">
        <v>74</v>
      </c>
      <c r="AG750">
        <v>24</v>
      </c>
      <c r="AH750">
        <v>2</v>
      </c>
      <c r="AI750">
        <v>2</v>
      </c>
      <c r="AJ750">
        <v>0</v>
      </c>
      <c r="AK750">
        <v>9</v>
      </c>
      <c r="AL750" t="s">
        <v>506</v>
      </c>
      <c r="AM750" t="s">
        <v>266</v>
      </c>
      <c r="AN750" t="s">
        <v>507</v>
      </c>
      <c r="AO750" t="s">
        <v>12398</v>
      </c>
      <c r="AP750" t="s">
        <v>12399</v>
      </c>
      <c r="AQ750" t="s">
        <v>74</v>
      </c>
      <c r="AR750" t="s">
        <v>12400</v>
      </c>
      <c r="AS750" t="s">
        <v>12401</v>
      </c>
      <c r="AT750" t="s">
        <v>12252</v>
      </c>
      <c r="AU750">
        <v>2007</v>
      </c>
      <c r="AV750">
        <v>137</v>
      </c>
      <c r="AW750">
        <v>11</v>
      </c>
      <c r="AX750" t="s">
        <v>74</v>
      </c>
      <c r="AY750" t="s">
        <v>74</v>
      </c>
      <c r="AZ750" t="s">
        <v>74</v>
      </c>
      <c r="BA750" t="s">
        <v>74</v>
      </c>
      <c r="BB750">
        <v>3793</v>
      </c>
      <c r="BC750">
        <v>3814</v>
      </c>
      <c r="BD750" t="s">
        <v>74</v>
      </c>
      <c r="BE750" t="s">
        <v>12402</v>
      </c>
      <c r="BF750" t="str">
        <f>HYPERLINK("http://dx.doi.org/10.1016/j.jspi.2007.03.050","http://dx.doi.org/10.1016/j.jspi.2007.03.050")</f>
        <v>http://dx.doi.org/10.1016/j.jspi.2007.03.050</v>
      </c>
      <c r="BG750" t="s">
        <v>74</v>
      </c>
      <c r="BH750" t="s">
        <v>74</v>
      </c>
      <c r="BI750">
        <v>22</v>
      </c>
      <c r="BJ750" t="s">
        <v>4261</v>
      </c>
      <c r="BK750" t="s">
        <v>97</v>
      </c>
      <c r="BL750" t="s">
        <v>4262</v>
      </c>
      <c r="BM750" t="s">
        <v>12403</v>
      </c>
      <c r="BN750" t="s">
        <v>74</v>
      </c>
      <c r="BO750" t="s">
        <v>3777</v>
      </c>
      <c r="BP750" t="s">
        <v>74</v>
      </c>
      <c r="BQ750" t="s">
        <v>74</v>
      </c>
      <c r="BR750" t="s">
        <v>100</v>
      </c>
      <c r="BS750" t="s">
        <v>12404</v>
      </c>
      <c r="BT750" t="str">
        <f>HYPERLINK("https%3A%2F%2Fwww.webofscience.com%2Fwos%2Fwoscc%2Ffull-record%2FWOS:000249140100049","View Full Record in Web of Science")</f>
        <v>View Full Record in Web of Science</v>
      </c>
    </row>
    <row r="751" spans="1:72" x14ac:dyDescent="0.15">
      <c r="A751" t="s">
        <v>72</v>
      </c>
      <c r="B751" t="s">
        <v>12405</v>
      </c>
      <c r="C751" t="s">
        <v>74</v>
      </c>
      <c r="D751" t="s">
        <v>74</v>
      </c>
      <c r="E751" t="s">
        <v>74</v>
      </c>
      <c r="F751" t="s">
        <v>12406</v>
      </c>
      <c r="G751" t="s">
        <v>74</v>
      </c>
      <c r="H751" t="s">
        <v>74</v>
      </c>
      <c r="I751" t="s">
        <v>12407</v>
      </c>
      <c r="J751" t="s">
        <v>12408</v>
      </c>
      <c r="K751" t="s">
        <v>74</v>
      </c>
      <c r="L751" t="s">
        <v>74</v>
      </c>
      <c r="M751" t="s">
        <v>78</v>
      </c>
      <c r="N751" t="s">
        <v>79</v>
      </c>
      <c r="O751" t="s">
        <v>74</v>
      </c>
      <c r="P751" t="s">
        <v>74</v>
      </c>
      <c r="Q751" t="s">
        <v>74</v>
      </c>
      <c r="R751" t="s">
        <v>74</v>
      </c>
      <c r="S751" t="s">
        <v>74</v>
      </c>
      <c r="T751" t="s">
        <v>12409</v>
      </c>
      <c r="U751" t="s">
        <v>12410</v>
      </c>
      <c r="V751" t="s">
        <v>12411</v>
      </c>
      <c r="W751" t="s">
        <v>12412</v>
      </c>
      <c r="X751" t="s">
        <v>12413</v>
      </c>
      <c r="Y751" t="s">
        <v>12414</v>
      </c>
      <c r="Z751" t="s">
        <v>12415</v>
      </c>
      <c r="AA751" t="s">
        <v>74</v>
      </c>
      <c r="AB751" t="s">
        <v>12416</v>
      </c>
      <c r="AC751" t="s">
        <v>74</v>
      </c>
      <c r="AD751" t="s">
        <v>74</v>
      </c>
      <c r="AE751" t="s">
        <v>74</v>
      </c>
      <c r="AF751" t="s">
        <v>74</v>
      </c>
      <c r="AG751">
        <v>59</v>
      </c>
      <c r="AH751">
        <v>3</v>
      </c>
      <c r="AI751">
        <v>4</v>
      </c>
      <c r="AJ751">
        <v>0</v>
      </c>
      <c r="AK751">
        <v>3</v>
      </c>
      <c r="AL751" t="s">
        <v>12417</v>
      </c>
      <c r="AM751" t="s">
        <v>4842</v>
      </c>
      <c r="AN751" t="s">
        <v>12418</v>
      </c>
      <c r="AO751" t="s">
        <v>12419</v>
      </c>
      <c r="AP751" t="s">
        <v>12420</v>
      </c>
      <c r="AQ751" t="s">
        <v>74</v>
      </c>
      <c r="AR751" t="s">
        <v>12421</v>
      </c>
      <c r="AS751" t="s">
        <v>12422</v>
      </c>
      <c r="AT751" t="s">
        <v>11510</v>
      </c>
      <c r="AU751">
        <v>2007</v>
      </c>
      <c r="AV751">
        <v>70</v>
      </c>
      <c r="AW751">
        <v>5</v>
      </c>
      <c r="AX751" t="s">
        <v>74</v>
      </c>
      <c r="AY751" t="s">
        <v>74</v>
      </c>
      <c r="AZ751" t="s">
        <v>74</v>
      </c>
      <c r="BA751" t="s">
        <v>74</v>
      </c>
      <c r="BB751">
        <v>837</v>
      </c>
      <c r="BC751">
        <v>845</v>
      </c>
      <c r="BD751" t="s">
        <v>74</v>
      </c>
      <c r="BE751" t="s">
        <v>74</v>
      </c>
      <c r="BF751" t="s">
        <v>74</v>
      </c>
      <c r="BG751" t="s">
        <v>74</v>
      </c>
      <c r="BH751" t="s">
        <v>74</v>
      </c>
      <c r="BI751">
        <v>9</v>
      </c>
      <c r="BJ751" t="s">
        <v>96</v>
      </c>
      <c r="BK751" t="s">
        <v>97</v>
      </c>
      <c r="BL751" t="s">
        <v>98</v>
      </c>
      <c r="BM751" t="s">
        <v>12423</v>
      </c>
      <c r="BN751" t="s">
        <v>74</v>
      </c>
      <c r="BO751" t="s">
        <v>74</v>
      </c>
      <c r="BP751" t="s">
        <v>74</v>
      </c>
      <c r="BQ751" t="s">
        <v>74</v>
      </c>
      <c r="BR751" t="s">
        <v>100</v>
      </c>
      <c r="BS751" t="s">
        <v>12424</v>
      </c>
      <c r="BT751" t="str">
        <f>HYPERLINK("https%3A%2F%2Fwww.webofscience.com%2Fwos%2Fwoscc%2Ffull-record%2FWOS:000252756400015","View Full Record in Web of Science")</f>
        <v>View Full Record in Web of Science</v>
      </c>
    </row>
    <row r="752" spans="1:72" x14ac:dyDescent="0.15">
      <c r="A752" t="s">
        <v>72</v>
      </c>
      <c r="B752" t="s">
        <v>12425</v>
      </c>
      <c r="C752" t="s">
        <v>74</v>
      </c>
      <c r="D752" t="s">
        <v>74</v>
      </c>
      <c r="E752" t="s">
        <v>74</v>
      </c>
      <c r="F752" t="s">
        <v>12426</v>
      </c>
      <c r="G752" t="s">
        <v>74</v>
      </c>
      <c r="H752" t="s">
        <v>74</v>
      </c>
      <c r="I752" t="s">
        <v>12427</v>
      </c>
      <c r="J752" t="s">
        <v>12428</v>
      </c>
      <c r="K752" t="s">
        <v>74</v>
      </c>
      <c r="L752" t="s">
        <v>74</v>
      </c>
      <c r="M752" t="s">
        <v>78</v>
      </c>
      <c r="N752" t="s">
        <v>79</v>
      </c>
      <c r="O752" t="s">
        <v>74</v>
      </c>
      <c r="P752" t="s">
        <v>74</v>
      </c>
      <c r="Q752" t="s">
        <v>74</v>
      </c>
      <c r="R752" t="s">
        <v>74</v>
      </c>
      <c r="S752" t="s">
        <v>74</v>
      </c>
      <c r="T752" t="s">
        <v>12429</v>
      </c>
      <c r="U752" t="s">
        <v>12430</v>
      </c>
      <c r="V752" t="s">
        <v>12431</v>
      </c>
      <c r="W752" t="s">
        <v>12432</v>
      </c>
      <c r="X752" t="s">
        <v>260</v>
      </c>
      <c r="Y752" t="s">
        <v>12433</v>
      </c>
      <c r="Z752" t="s">
        <v>74</v>
      </c>
      <c r="AA752" t="s">
        <v>74</v>
      </c>
      <c r="AB752" t="s">
        <v>74</v>
      </c>
      <c r="AC752" t="s">
        <v>74</v>
      </c>
      <c r="AD752" t="s">
        <v>74</v>
      </c>
      <c r="AE752" t="s">
        <v>74</v>
      </c>
      <c r="AF752" t="s">
        <v>74</v>
      </c>
      <c r="AG752">
        <v>67</v>
      </c>
      <c r="AH752">
        <v>31</v>
      </c>
      <c r="AI752">
        <v>32</v>
      </c>
      <c r="AJ752">
        <v>3</v>
      </c>
      <c r="AK752">
        <v>63</v>
      </c>
      <c r="AL752" t="s">
        <v>88</v>
      </c>
      <c r="AM752" t="s">
        <v>89</v>
      </c>
      <c r="AN752" t="s">
        <v>90</v>
      </c>
      <c r="AO752" t="s">
        <v>12434</v>
      </c>
      <c r="AP752" t="s">
        <v>12435</v>
      </c>
      <c r="AQ752" t="s">
        <v>74</v>
      </c>
      <c r="AR752" t="s">
        <v>12436</v>
      </c>
      <c r="AS752" t="s">
        <v>12437</v>
      </c>
      <c r="AT752" t="s">
        <v>11510</v>
      </c>
      <c r="AU752">
        <v>2007</v>
      </c>
      <c r="AV752">
        <v>71</v>
      </c>
      <c r="AW752">
        <v>8</v>
      </c>
      <c r="AX752" t="s">
        <v>74</v>
      </c>
      <c r="AY752" t="s">
        <v>74</v>
      </c>
      <c r="AZ752" t="s">
        <v>74</v>
      </c>
      <c r="BA752" t="s">
        <v>74</v>
      </c>
      <c r="BB752">
        <v>2575</v>
      </c>
      <c r="BC752">
        <v>2582</v>
      </c>
      <c r="BD752" t="s">
        <v>74</v>
      </c>
      <c r="BE752" t="s">
        <v>12438</v>
      </c>
      <c r="BF752" t="str">
        <f>HYPERLINK("http://dx.doi.org/10.2193/2005-715","http://dx.doi.org/10.2193/2005-715")</f>
        <v>http://dx.doi.org/10.2193/2005-715</v>
      </c>
      <c r="BG752" t="s">
        <v>74</v>
      </c>
      <c r="BH752" t="s">
        <v>74</v>
      </c>
      <c r="BI752">
        <v>8</v>
      </c>
      <c r="BJ752" t="s">
        <v>8458</v>
      </c>
      <c r="BK752" t="s">
        <v>97</v>
      </c>
      <c r="BL752" t="s">
        <v>8459</v>
      </c>
      <c r="BM752" t="s">
        <v>12439</v>
      </c>
      <c r="BN752" t="s">
        <v>74</v>
      </c>
      <c r="BO752" t="s">
        <v>74</v>
      </c>
      <c r="BP752" t="s">
        <v>74</v>
      </c>
      <c r="BQ752" t="s">
        <v>74</v>
      </c>
      <c r="BR752" t="s">
        <v>100</v>
      </c>
      <c r="BS752" t="s">
        <v>12440</v>
      </c>
      <c r="BT752" t="str">
        <f>HYPERLINK("https%3A%2F%2Fwww.webofscience.com%2Fwos%2Fwoscc%2Ffull-record%2FWOS:000250853000013","View Full Record in Web of Science")</f>
        <v>View Full Record in Web of Science</v>
      </c>
    </row>
    <row r="753" spans="1:72" x14ac:dyDescent="0.15">
      <c r="A753" t="s">
        <v>72</v>
      </c>
      <c r="B753" t="s">
        <v>12441</v>
      </c>
      <c r="C753" t="s">
        <v>74</v>
      </c>
      <c r="D753" t="s">
        <v>74</v>
      </c>
      <c r="E753" t="s">
        <v>74</v>
      </c>
      <c r="F753" t="s">
        <v>12442</v>
      </c>
      <c r="G753" t="s">
        <v>74</v>
      </c>
      <c r="H753" t="s">
        <v>74</v>
      </c>
      <c r="I753" t="s">
        <v>12443</v>
      </c>
      <c r="J753" t="s">
        <v>5812</v>
      </c>
      <c r="K753" t="s">
        <v>74</v>
      </c>
      <c r="L753" t="s">
        <v>74</v>
      </c>
      <c r="M753" t="s">
        <v>78</v>
      </c>
      <c r="N753" t="s">
        <v>79</v>
      </c>
      <c r="O753" t="s">
        <v>74</v>
      </c>
      <c r="P753" t="s">
        <v>74</v>
      </c>
      <c r="Q753" t="s">
        <v>74</v>
      </c>
      <c r="R753" t="s">
        <v>74</v>
      </c>
      <c r="S753" t="s">
        <v>74</v>
      </c>
      <c r="T753" t="s">
        <v>74</v>
      </c>
      <c r="U753" t="s">
        <v>12444</v>
      </c>
      <c r="V753" t="s">
        <v>12445</v>
      </c>
      <c r="W753" t="s">
        <v>12446</v>
      </c>
      <c r="X753" t="s">
        <v>12447</v>
      </c>
      <c r="Y753" t="s">
        <v>12448</v>
      </c>
      <c r="Z753" t="s">
        <v>12449</v>
      </c>
      <c r="AA753" t="s">
        <v>12450</v>
      </c>
      <c r="AB753" t="s">
        <v>12451</v>
      </c>
      <c r="AC753" t="s">
        <v>74</v>
      </c>
      <c r="AD753" t="s">
        <v>74</v>
      </c>
      <c r="AE753" t="s">
        <v>74</v>
      </c>
      <c r="AF753" t="s">
        <v>74</v>
      </c>
      <c r="AG753">
        <v>45</v>
      </c>
      <c r="AH753">
        <v>46</v>
      </c>
      <c r="AI753">
        <v>49</v>
      </c>
      <c r="AJ753">
        <v>3</v>
      </c>
      <c r="AK753">
        <v>24</v>
      </c>
      <c r="AL753" t="s">
        <v>1219</v>
      </c>
      <c r="AM753" t="s">
        <v>89</v>
      </c>
      <c r="AN753" t="s">
        <v>90</v>
      </c>
      <c r="AO753" t="s">
        <v>5818</v>
      </c>
      <c r="AP753" t="s">
        <v>5819</v>
      </c>
      <c r="AQ753" t="s">
        <v>74</v>
      </c>
      <c r="AR753" t="s">
        <v>5820</v>
      </c>
      <c r="AS753" t="s">
        <v>5821</v>
      </c>
      <c r="AT753" t="s">
        <v>11510</v>
      </c>
      <c r="AU753">
        <v>2007</v>
      </c>
      <c r="AV753">
        <v>52</v>
      </c>
      <c r="AW753">
        <v>6</v>
      </c>
      <c r="AX753" t="s">
        <v>74</v>
      </c>
      <c r="AY753" t="s">
        <v>74</v>
      </c>
      <c r="AZ753" t="s">
        <v>74</v>
      </c>
      <c r="BA753" t="s">
        <v>74</v>
      </c>
      <c r="BB753">
        <v>2445</v>
      </c>
      <c r="BC753">
        <v>2455</v>
      </c>
      <c r="BD753" t="s">
        <v>74</v>
      </c>
      <c r="BE753" t="s">
        <v>12452</v>
      </c>
      <c r="BF753" t="str">
        <f>HYPERLINK("http://dx.doi.org/10.4319/lo.2007.52.6.2445","http://dx.doi.org/10.4319/lo.2007.52.6.2445")</f>
        <v>http://dx.doi.org/10.4319/lo.2007.52.6.2445</v>
      </c>
      <c r="BG753" t="s">
        <v>74</v>
      </c>
      <c r="BH753" t="s">
        <v>74</v>
      </c>
      <c r="BI753">
        <v>11</v>
      </c>
      <c r="BJ753" t="s">
        <v>5823</v>
      </c>
      <c r="BK753" t="s">
        <v>97</v>
      </c>
      <c r="BL753" t="s">
        <v>5824</v>
      </c>
      <c r="BM753" t="s">
        <v>12453</v>
      </c>
      <c r="BN753" t="s">
        <v>74</v>
      </c>
      <c r="BO753" t="s">
        <v>179</v>
      </c>
      <c r="BP753" t="s">
        <v>74</v>
      </c>
      <c r="BQ753" t="s">
        <v>74</v>
      </c>
      <c r="BR753" t="s">
        <v>100</v>
      </c>
      <c r="BS753" t="s">
        <v>12454</v>
      </c>
      <c r="BT753" t="str">
        <f>HYPERLINK("https%3A%2F%2Fwww.webofscience.com%2Fwos%2Fwoscc%2Ffull-record%2FWOS:000251129700012","View Full Record in Web of Science")</f>
        <v>View Full Record in Web of Science</v>
      </c>
    </row>
    <row r="754" spans="1:72" x14ac:dyDescent="0.15">
      <c r="A754" t="s">
        <v>72</v>
      </c>
      <c r="B754" t="s">
        <v>12455</v>
      </c>
      <c r="C754" t="s">
        <v>74</v>
      </c>
      <c r="D754" t="s">
        <v>74</v>
      </c>
      <c r="E754" t="s">
        <v>74</v>
      </c>
      <c r="F754" t="s">
        <v>12456</v>
      </c>
      <c r="G754" t="s">
        <v>74</v>
      </c>
      <c r="H754" t="s">
        <v>74</v>
      </c>
      <c r="I754" t="s">
        <v>12457</v>
      </c>
      <c r="J754" t="s">
        <v>5812</v>
      </c>
      <c r="K754" t="s">
        <v>74</v>
      </c>
      <c r="L754" t="s">
        <v>74</v>
      </c>
      <c r="M754" t="s">
        <v>78</v>
      </c>
      <c r="N754" t="s">
        <v>79</v>
      </c>
      <c r="O754" t="s">
        <v>74</v>
      </c>
      <c r="P754" t="s">
        <v>74</v>
      </c>
      <c r="Q754" t="s">
        <v>74</v>
      </c>
      <c r="R754" t="s">
        <v>74</v>
      </c>
      <c r="S754" t="s">
        <v>74</v>
      </c>
      <c r="T754" t="s">
        <v>74</v>
      </c>
      <c r="U754" t="s">
        <v>12458</v>
      </c>
      <c r="V754" t="s">
        <v>12459</v>
      </c>
      <c r="W754" t="s">
        <v>12460</v>
      </c>
      <c r="X754" t="s">
        <v>12461</v>
      </c>
      <c r="Y754" t="s">
        <v>12462</v>
      </c>
      <c r="Z754" t="s">
        <v>12463</v>
      </c>
      <c r="AA754" t="s">
        <v>12464</v>
      </c>
      <c r="AB754" t="s">
        <v>12465</v>
      </c>
      <c r="AC754" t="s">
        <v>74</v>
      </c>
      <c r="AD754" t="s">
        <v>74</v>
      </c>
      <c r="AE754" t="s">
        <v>74</v>
      </c>
      <c r="AF754" t="s">
        <v>74</v>
      </c>
      <c r="AG754">
        <v>39</v>
      </c>
      <c r="AH754">
        <v>102</v>
      </c>
      <c r="AI754">
        <v>110</v>
      </c>
      <c r="AJ754">
        <v>0</v>
      </c>
      <c r="AK754">
        <v>28</v>
      </c>
      <c r="AL754" t="s">
        <v>12466</v>
      </c>
      <c r="AM754" t="s">
        <v>12467</v>
      </c>
      <c r="AN754" t="s">
        <v>12468</v>
      </c>
      <c r="AO754" t="s">
        <v>5818</v>
      </c>
      <c r="AP754" t="s">
        <v>74</v>
      </c>
      <c r="AQ754" t="s">
        <v>74</v>
      </c>
      <c r="AR754" t="s">
        <v>5820</v>
      </c>
      <c r="AS754" t="s">
        <v>5821</v>
      </c>
      <c r="AT754" t="s">
        <v>11510</v>
      </c>
      <c r="AU754">
        <v>2007</v>
      </c>
      <c r="AV754">
        <v>52</v>
      </c>
      <c r="AW754">
        <v>6</v>
      </c>
      <c r="AX754" t="s">
        <v>74</v>
      </c>
      <c r="AY754" t="s">
        <v>74</v>
      </c>
      <c r="AZ754" t="s">
        <v>74</v>
      </c>
      <c r="BA754" t="s">
        <v>74</v>
      </c>
      <c r="BB754">
        <v>2540</v>
      </c>
      <c r="BC754">
        <v>2554</v>
      </c>
      <c r="BD754" t="s">
        <v>74</v>
      </c>
      <c r="BE754" t="s">
        <v>12469</v>
      </c>
      <c r="BF754" t="str">
        <f>HYPERLINK("http://dx.doi.org/10.4319/lo.2007.52.6.2540","http://dx.doi.org/10.4319/lo.2007.52.6.2540")</f>
        <v>http://dx.doi.org/10.4319/lo.2007.52.6.2540</v>
      </c>
      <c r="BG754" t="s">
        <v>74</v>
      </c>
      <c r="BH754" t="s">
        <v>74</v>
      </c>
      <c r="BI754">
        <v>15</v>
      </c>
      <c r="BJ754" t="s">
        <v>5823</v>
      </c>
      <c r="BK754" t="s">
        <v>97</v>
      </c>
      <c r="BL754" t="s">
        <v>5824</v>
      </c>
      <c r="BM754" t="s">
        <v>12453</v>
      </c>
      <c r="BN754" t="s">
        <v>74</v>
      </c>
      <c r="BO754" t="s">
        <v>179</v>
      </c>
      <c r="BP754" t="s">
        <v>74</v>
      </c>
      <c r="BQ754" t="s">
        <v>74</v>
      </c>
      <c r="BR754" t="s">
        <v>100</v>
      </c>
      <c r="BS754" t="s">
        <v>12470</v>
      </c>
      <c r="BT754" t="str">
        <f>HYPERLINK("https%3A%2F%2Fwww.webofscience.com%2Fwos%2Fwoscc%2Ffull-record%2FWOS:000251129700020","View Full Record in Web of Science")</f>
        <v>View Full Record in Web of Science</v>
      </c>
    </row>
    <row r="755" spans="1:72" x14ac:dyDescent="0.15">
      <c r="A755" t="s">
        <v>72</v>
      </c>
      <c r="B755" t="s">
        <v>12471</v>
      </c>
      <c r="C755" t="s">
        <v>74</v>
      </c>
      <c r="D755" t="s">
        <v>74</v>
      </c>
      <c r="E755" t="s">
        <v>74</v>
      </c>
      <c r="F755" t="s">
        <v>12472</v>
      </c>
      <c r="G755" t="s">
        <v>74</v>
      </c>
      <c r="H755" t="s">
        <v>74</v>
      </c>
      <c r="I755" t="s">
        <v>12473</v>
      </c>
      <c r="J755" t="s">
        <v>12474</v>
      </c>
      <c r="K755" t="s">
        <v>74</v>
      </c>
      <c r="L755" t="s">
        <v>74</v>
      </c>
      <c r="M755" t="s">
        <v>78</v>
      </c>
      <c r="N755" t="s">
        <v>79</v>
      </c>
      <c r="O755" t="s">
        <v>74</v>
      </c>
      <c r="P755" t="s">
        <v>74</v>
      </c>
      <c r="Q755" t="s">
        <v>74</v>
      </c>
      <c r="R755" t="s">
        <v>74</v>
      </c>
      <c r="S755" t="s">
        <v>74</v>
      </c>
      <c r="T755" t="s">
        <v>74</v>
      </c>
      <c r="U755" t="s">
        <v>12475</v>
      </c>
      <c r="V755" t="s">
        <v>12476</v>
      </c>
      <c r="W755" t="s">
        <v>12477</v>
      </c>
      <c r="X755" t="s">
        <v>12478</v>
      </c>
      <c r="Y755" t="s">
        <v>12479</v>
      </c>
      <c r="Z755" t="s">
        <v>12480</v>
      </c>
      <c r="AA755" t="s">
        <v>12481</v>
      </c>
      <c r="AB755" t="s">
        <v>12482</v>
      </c>
      <c r="AC755" t="s">
        <v>10660</v>
      </c>
      <c r="AD755" t="s">
        <v>444</v>
      </c>
      <c r="AE755" t="s">
        <v>74</v>
      </c>
      <c r="AF755" t="s">
        <v>74</v>
      </c>
      <c r="AG755">
        <v>37</v>
      </c>
      <c r="AH755">
        <v>29</v>
      </c>
      <c r="AI755">
        <v>31</v>
      </c>
      <c r="AJ755">
        <v>0</v>
      </c>
      <c r="AK755">
        <v>14</v>
      </c>
      <c r="AL755" t="s">
        <v>1265</v>
      </c>
      <c r="AM755" t="s">
        <v>662</v>
      </c>
      <c r="AN755" t="s">
        <v>7409</v>
      </c>
      <c r="AO755" t="s">
        <v>12483</v>
      </c>
      <c r="AP755" t="s">
        <v>74</v>
      </c>
      <c r="AQ755" t="s">
        <v>74</v>
      </c>
      <c r="AR755" t="s">
        <v>12484</v>
      </c>
      <c r="AS755" t="s">
        <v>12485</v>
      </c>
      <c r="AT755" t="s">
        <v>11510</v>
      </c>
      <c r="AU755">
        <v>2007</v>
      </c>
      <c r="AV755">
        <v>153</v>
      </c>
      <c r="AW755">
        <v>1</v>
      </c>
      <c r="AX755" t="s">
        <v>74</v>
      </c>
      <c r="AY755" t="s">
        <v>74</v>
      </c>
      <c r="AZ755" t="s">
        <v>74</v>
      </c>
      <c r="BA755" t="s">
        <v>74</v>
      </c>
      <c r="BB755">
        <v>15</v>
      </c>
      <c r="BC755">
        <v>23</v>
      </c>
      <c r="BD755" t="s">
        <v>74</v>
      </c>
      <c r="BE755" t="s">
        <v>12486</v>
      </c>
      <c r="BF755" t="str">
        <f>HYPERLINK("http://dx.doi.org/10.1007/s00227-007-0776-z","http://dx.doi.org/10.1007/s00227-007-0776-z")</f>
        <v>http://dx.doi.org/10.1007/s00227-007-0776-z</v>
      </c>
      <c r="BG755" t="s">
        <v>74</v>
      </c>
      <c r="BH755" t="s">
        <v>74</v>
      </c>
      <c r="BI755">
        <v>9</v>
      </c>
      <c r="BJ755" t="s">
        <v>2015</v>
      </c>
      <c r="BK755" t="s">
        <v>97</v>
      </c>
      <c r="BL755" t="s">
        <v>2015</v>
      </c>
      <c r="BM755" t="s">
        <v>12487</v>
      </c>
      <c r="BN755" t="s">
        <v>74</v>
      </c>
      <c r="BO755" t="s">
        <v>74</v>
      </c>
      <c r="BP755" t="s">
        <v>74</v>
      </c>
      <c r="BQ755" t="s">
        <v>74</v>
      </c>
      <c r="BR755" t="s">
        <v>100</v>
      </c>
      <c r="BS755" t="s">
        <v>12488</v>
      </c>
      <c r="BT755" t="str">
        <f>HYPERLINK("https%3A%2F%2Fwww.webofscience.com%2Fwos%2Fwoscc%2Ffull-record%2FWOS:000250139700003","View Full Record in Web of Science")</f>
        <v>View Full Record in Web of Science</v>
      </c>
    </row>
    <row r="756" spans="1:72" x14ac:dyDescent="0.15">
      <c r="A756" t="s">
        <v>72</v>
      </c>
      <c r="B756" t="s">
        <v>12489</v>
      </c>
      <c r="C756" t="s">
        <v>74</v>
      </c>
      <c r="D756" t="s">
        <v>74</v>
      </c>
      <c r="E756" t="s">
        <v>74</v>
      </c>
      <c r="F756" t="s">
        <v>12490</v>
      </c>
      <c r="G756" t="s">
        <v>74</v>
      </c>
      <c r="H756" t="s">
        <v>74</v>
      </c>
      <c r="I756" t="s">
        <v>12491</v>
      </c>
      <c r="J756" t="s">
        <v>12474</v>
      </c>
      <c r="K756" t="s">
        <v>74</v>
      </c>
      <c r="L756" t="s">
        <v>74</v>
      </c>
      <c r="M756" t="s">
        <v>78</v>
      </c>
      <c r="N756" t="s">
        <v>79</v>
      </c>
      <c r="O756" t="s">
        <v>74</v>
      </c>
      <c r="P756" t="s">
        <v>74</v>
      </c>
      <c r="Q756" t="s">
        <v>74</v>
      </c>
      <c r="R756" t="s">
        <v>74</v>
      </c>
      <c r="S756" t="s">
        <v>74</v>
      </c>
      <c r="T756" t="s">
        <v>74</v>
      </c>
      <c r="U756" t="s">
        <v>12492</v>
      </c>
      <c r="V756" t="s">
        <v>12493</v>
      </c>
      <c r="W756" t="s">
        <v>12494</v>
      </c>
      <c r="X756" t="s">
        <v>12495</v>
      </c>
      <c r="Y756" t="s">
        <v>12496</v>
      </c>
      <c r="Z756" t="s">
        <v>12497</v>
      </c>
      <c r="AA756" t="s">
        <v>74</v>
      </c>
      <c r="AB756" t="s">
        <v>12498</v>
      </c>
      <c r="AC756" t="s">
        <v>74</v>
      </c>
      <c r="AD756" t="s">
        <v>74</v>
      </c>
      <c r="AE756" t="s">
        <v>74</v>
      </c>
      <c r="AF756" t="s">
        <v>74</v>
      </c>
      <c r="AG756">
        <v>49</v>
      </c>
      <c r="AH756">
        <v>62</v>
      </c>
      <c r="AI756">
        <v>70</v>
      </c>
      <c r="AJ756">
        <v>2</v>
      </c>
      <c r="AK756">
        <v>32</v>
      </c>
      <c r="AL756" t="s">
        <v>1240</v>
      </c>
      <c r="AM756" t="s">
        <v>1241</v>
      </c>
      <c r="AN756" t="s">
        <v>1242</v>
      </c>
      <c r="AO756" t="s">
        <v>12483</v>
      </c>
      <c r="AP756" t="s">
        <v>12499</v>
      </c>
      <c r="AQ756" t="s">
        <v>74</v>
      </c>
      <c r="AR756" t="s">
        <v>12484</v>
      </c>
      <c r="AS756" t="s">
        <v>12485</v>
      </c>
      <c r="AT756" t="s">
        <v>11510</v>
      </c>
      <c r="AU756">
        <v>2007</v>
      </c>
      <c r="AV756">
        <v>152</v>
      </c>
      <c r="AW756">
        <v>6</v>
      </c>
      <c r="AX756" t="s">
        <v>74</v>
      </c>
      <c r="AY756" t="s">
        <v>74</v>
      </c>
      <c r="AZ756" t="s">
        <v>74</v>
      </c>
      <c r="BA756" t="s">
        <v>74</v>
      </c>
      <c r="BB756">
        <v>1227</v>
      </c>
      <c r="BC756">
        <v>1235</v>
      </c>
      <c r="BD756" t="s">
        <v>74</v>
      </c>
      <c r="BE756" t="s">
        <v>12500</v>
      </c>
      <c r="BF756" t="str">
        <f>HYPERLINK("http://dx.doi.org/10.1007/s00227-007-0770-5","http://dx.doi.org/10.1007/s00227-007-0770-5")</f>
        <v>http://dx.doi.org/10.1007/s00227-007-0770-5</v>
      </c>
      <c r="BG756" t="s">
        <v>74</v>
      </c>
      <c r="BH756" t="s">
        <v>74</v>
      </c>
      <c r="BI756">
        <v>9</v>
      </c>
      <c r="BJ756" t="s">
        <v>2015</v>
      </c>
      <c r="BK756" t="s">
        <v>97</v>
      </c>
      <c r="BL756" t="s">
        <v>2015</v>
      </c>
      <c r="BM756" t="s">
        <v>12501</v>
      </c>
      <c r="BN756" t="s">
        <v>74</v>
      </c>
      <c r="BO756" t="s">
        <v>74</v>
      </c>
      <c r="BP756" t="s">
        <v>74</v>
      </c>
      <c r="BQ756" t="s">
        <v>74</v>
      </c>
      <c r="BR756" t="s">
        <v>100</v>
      </c>
      <c r="BS756" t="s">
        <v>12502</v>
      </c>
      <c r="BT756" t="str">
        <f>HYPERLINK("https%3A%2F%2Fwww.webofscience.com%2Fwos%2Fwoscc%2Ffull-record%2FWOS:000250134300002","View Full Record in Web of Science")</f>
        <v>View Full Record in Web of Science</v>
      </c>
    </row>
    <row r="757" spans="1:72" x14ac:dyDescent="0.15">
      <c r="A757" t="s">
        <v>72</v>
      </c>
      <c r="B757" t="s">
        <v>12503</v>
      </c>
      <c r="C757" t="s">
        <v>74</v>
      </c>
      <c r="D757" t="s">
        <v>74</v>
      </c>
      <c r="E757" t="s">
        <v>74</v>
      </c>
      <c r="F757" t="s">
        <v>12504</v>
      </c>
      <c r="G757" t="s">
        <v>74</v>
      </c>
      <c r="H757" t="s">
        <v>74</v>
      </c>
      <c r="I757" t="s">
        <v>12505</v>
      </c>
      <c r="J757" t="s">
        <v>12506</v>
      </c>
      <c r="K757" t="s">
        <v>74</v>
      </c>
      <c r="L757" t="s">
        <v>74</v>
      </c>
      <c r="M757" t="s">
        <v>78</v>
      </c>
      <c r="N757" t="s">
        <v>79</v>
      </c>
      <c r="O757" t="s">
        <v>74</v>
      </c>
      <c r="P757" t="s">
        <v>74</v>
      </c>
      <c r="Q757" t="s">
        <v>74</v>
      </c>
      <c r="R757" t="s">
        <v>74</v>
      </c>
      <c r="S757" t="s">
        <v>74</v>
      </c>
      <c r="T757" t="s">
        <v>12507</v>
      </c>
      <c r="U757" t="s">
        <v>12508</v>
      </c>
      <c r="V757" t="s">
        <v>12509</v>
      </c>
      <c r="W757" t="s">
        <v>12510</v>
      </c>
      <c r="X757" t="s">
        <v>12511</v>
      </c>
      <c r="Y757" t="s">
        <v>12512</v>
      </c>
      <c r="Z757" t="s">
        <v>2495</v>
      </c>
      <c r="AA757" t="s">
        <v>74</v>
      </c>
      <c r="AB757" t="s">
        <v>74</v>
      </c>
      <c r="AC757" t="s">
        <v>74</v>
      </c>
      <c r="AD757" t="s">
        <v>74</v>
      </c>
      <c r="AE757" t="s">
        <v>74</v>
      </c>
      <c r="AF757" t="s">
        <v>74</v>
      </c>
      <c r="AG757">
        <v>44</v>
      </c>
      <c r="AH757">
        <v>38</v>
      </c>
      <c r="AI757">
        <v>48</v>
      </c>
      <c r="AJ757">
        <v>2</v>
      </c>
      <c r="AK757">
        <v>31</v>
      </c>
      <c r="AL757" t="s">
        <v>521</v>
      </c>
      <c r="AM757" t="s">
        <v>522</v>
      </c>
      <c r="AN757" t="s">
        <v>523</v>
      </c>
      <c r="AO757" t="s">
        <v>12513</v>
      </c>
      <c r="AP757" t="s">
        <v>12514</v>
      </c>
      <c r="AQ757" t="s">
        <v>74</v>
      </c>
      <c r="AR757" t="s">
        <v>12515</v>
      </c>
      <c r="AS757" t="s">
        <v>12516</v>
      </c>
      <c r="AT757" t="s">
        <v>11510</v>
      </c>
      <c r="AU757">
        <v>2007</v>
      </c>
      <c r="AV757">
        <v>54</v>
      </c>
      <c r="AW757">
        <v>11</v>
      </c>
      <c r="AX757" t="s">
        <v>74</v>
      </c>
      <c r="AY757" t="s">
        <v>74</v>
      </c>
      <c r="AZ757" t="s">
        <v>74</v>
      </c>
      <c r="BA757" t="s">
        <v>74</v>
      </c>
      <c r="BB757">
        <v>1754</v>
      </c>
      <c r="BC757">
        <v>1761</v>
      </c>
      <c r="BD757" t="s">
        <v>74</v>
      </c>
      <c r="BE757" t="s">
        <v>12517</v>
      </c>
      <c r="BF757" t="str">
        <f>HYPERLINK("http://dx.doi.org/10.1016/j.marpolbul.2007.07.011","http://dx.doi.org/10.1016/j.marpolbul.2007.07.011")</f>
        <v>http://dx.doi.org/10.1016/j.marpolbul.2007.07.011</v>
      </c>
      <c r="BG757" t="s">
        <v>74</v>
      </c>
      <c r="BH757" t="s">
        <v>74</v>
      </c>
      <c r="BI757">
        <v>8</v>
      </c>
      <c r="BJ757" t="s">
        <v>12518</v>
      </c>
      <c r="BK757" t="s">
        <v>97</v>
      </c>
      <c r="BL757" t="s">
        <v>790</v>
      </c>
      <c r="BM757" t="s">
        <v>12519</v>
      </c>
      <c r="BN757">
        <v>17854841</v>
      </c>
      <c r="BO757" t="s">
        <v>74</v>
      </c>
      <c r="BP757" t="s">
        <v>74</v>
      </c>
      <c r="BQ757" t="s">
        <v>74</v>
      </c>
      <c r="BR757" t="s">
        <v>100</v>
      </c>
      <c r="BS757" t="s">
        <v>12520</v>
      </c>
      <c r="BT757" t="str">
        <f>HYPERLINK("https%3A%2F%2Fwww.webofscience.com%2Fwos%2Fwoscc%2Ffull-record%2FWOS:000251870500022","View Full Record in Web of Science")</f>
        <v>View Full Record in Web of Science</v>
      </c>
    </row>
    <row r="758" spans="1:72" x14ac:dyDescent="0.15">
      <c r="A758" t="s">
        <v>72</v>
      </c>
      <c r="B758" t="s">
        <v>12521</v>
      </c>
      <c r="C758" t="s">
        <v>74</v>
      </c>
      <c r="D758" t="s">
        <v>74</v>
      </c>
      <c r="E758" t="s">
        <v>74</v>
      </c>
      <c r="F758" t="s">
        <v>12522</v>
      </c>
      <c r="G758" t="s">
        <v>74</v>
      </c>
      <c r="H758" t="s">
        <v>74</v>
      </c>
      <c r="I758" t="s">
        <v>12523</v>
      </c>
      <c r="J758" t="s">
        <v>12524</v>
      </c>
      <c r="K758" t="s">
        <v>74</v>
      </c>
      <c r="L758" t="s">
        <v>74</v>
      </c>
      <c r="M758" t="s">
        <v>78</v>
      </c>
      <c r="N758" t="s">
        <v>2552</v>
      </c>
      <c r="O758" t="s">
        <v>74</v>
      </c>
      <c r="P758" t="s">
        <v>74</v>
      </c>
      <c r="Q758" t="s">
        <v>74</v>
      </c>
      <c r="R758" t="s">
        <v>74</v>
      </c>
      <c r="S758" t="s">
        <v>74</v>
      </c>
      <c r="T758" t="s">
        <v>74</v>
      </c>
      <c r="U758" t="s">
        <v>74</v>
      </c>
      <c r="V758" t="s">
        <v>74</v>
      </c>
      <c r="W758" t="s">
        <v>74</v>
      </c>
      <c r="X758" t="s">
        <v>74</v>
      </c>
      <c r="Y758" t="s">
        <v>74</v>
      </c>
      <c r="Z758" t="s">
        <v>74</v>
      </c>
      <c r="AA758" t="s">
        <v>74</v>
      </c>
      <c r="AB758" t="s">
        <v>74</v>
      </c>
      <c r="AC758" t="s">
        <v>74</v>
      </c>
      <c r="AD758" t="s">
        <v>74</v>
      </c>
      <c r="AE758" t="s">
        <v>74</v>
      </c>
      <c r="AF758" t="s">
        <v>74</v>
      </c>
      <c r="AG758">
        <v>1</v>
      </c>
      <c r="AH758">
        <v>0</v>
      </c>
      <c r="AI758">
        <v>0</v>
      </c>
      <c r="AJ758">
        <v>0</v>
      </c>
      <c r="AK758">
        <v>0</v>
      </c>
      <c r="AL758" t="s">
        <v>12525</v>
      </c>
      <c r="AM758" t="s">
        <v>118</v>
      </c>
      <c r="AN758" t="s">
        <v>12526</v>
      </c>
      <c r="AO758" t="s">
        <v>12527</v>
      </c>
      <c r="AP758" t="s">
        <v>74</v>
      </c>
      <c r="AQ758" t="s">
        <v>74</v>
      </c>
      <c r="AR758" t="s">
        <v>12524</v>
      </c>
      <c r="AS758" t="s">
        <v>12528</v>
      </c>
      <c r="AT758" t="s">
        <v>11510</v>
      </c>
      <c r="AU758">
        <v>2007</v>
      </c>
      <c r="AV758">
        <v>93</v>
      </c>
      <c r="AW758">
        <v>4</v>
      </c>
      <c r="AX758" t="s">
        <v>74</v>
      </c>
      <c r="AY758" t="s">
        <v>74</v>
      </c>
      <c r="AZ758" t="s">
        <v>74</v>
      </c>
      <c r="BA758" t="s">
        <v>74</v>
      </c>
      <c r="BB758">
        <v>524</v>
      </c>
      <c r="BC758">
        <v>525</v>
      </c>
      <c r="BD758" t="s">
        <v>74</v>
      </c>
      <c r="BE758" t="s">
        <v>74</v>
      </c>
      <c r="BF758" t="s">
        <v>74</v>
      </c>
      <c r="BG758" t="s">
        <v>74</v>
      </c>
      <c r="BH758" t="s">
        <v>74</v>
      </c>
      <c r="BI758">
        <v>2</v>
      </c>
      <c r="BJ758" t="s">
        <v>3206</v>
      </c>
      <c r="BK758" t="s">
        <v>3207</v>
      </c>
      <c r="BL758" t="s">
        <v>3206</v>
      </c>
      <c r="BM758" t="s">
        <v>12529</v>
      </c>
      <c r="BN758" t="s">
        <v>74</v>
      </c>
      <c r="BO758" t="s">
        <v>74</v>
      </c>
      <c r="BP758" t="s">
        <v>74</v>
      </c>
      <c r="BQ758" t="s">
        <v>74</v>
      </c>
      <c r="BR758" t="s">
        <v>100</v>
      </c>
      <c r="BS758" t="s">
        <v>12530</v>
      </c>
      <c r="BT758" t="str">
        <f>HYPERLINK("https%3A%2F%2Fwww.webofscience.com%2Fwos%2Fwoscc%2Ffull-record%2FWOS:000251479100040","View Full Record in Web of Science")</f>
        <v>View Full Record in Web of Science</v>
      </c>
    </row>
    <row r="759" spans="1:72" x14ac:dyDescent="0.15">
      <c r="A759" t="s">
        <v>72</v>
      </c>
      <c r="B759" t="s">
        <v>12531</v>
      </c>
      <c r="C759" t="s">
        <v>74</v>
      </c>
      <c r="D759" t="s">
        <v>74</v>
      </c>
      <c r="E759" t="s">
        <v>74</v>
      </c>
      <c r="F759" t="s">
        <v>12532</v>
      </c>
      <c r="G759" t="s">
        <v>74</v>
      </c>
      <c r="H759" t="s">
        <v>74</v>
      </c>
      <c r="I759" t="s">
        <v>12533</v>
      </c>
      <c r="J759" t="s">
        <v>12534</v>
      </c>
      <c r="K759" t="s">
        <v>74</v>
      </c>
      <c r="L759" t="s">
        <v>74</v>
      </c>
      <c r="M759" t="s">
        <v>78</v>
      </c>
      <c r="N759" t="s">
        <v>79</v>
      </c>
      <c r="O759" t="s">
        <v>74</v>
      </c>
      <c r="P759" t="s">
        <v>74</v>
      </c>
      <c r="Q759" t="s">
        <v>74</v>
      </c>
      <c r="R759" t="s">
        <v>74</v>
      </c>
      <c r="S759" t="s">
        <v>74</v>
      </c>
      <c r="T759" t="s">
        <v>12535</v>
      </c>
      <c r="U759" t="s">
        <v>12536</v>
      </c>
      <c r="V759" t="s">
        <v>12537</v>
      </c>
      <c r="W759" t="s">
        <v>12538</v>
      </c>
      <c r="X759" t="s">
        <v>12539</v>
      </c>
      <c r="Y759" t="s">
        <v>12540</v>
      </c>
      <c r="Z759" t="s">
        <v>12541</v>
      </c>
      <c r="AA759" t="s">
        <v>12542</v>
      </c>
      <c r="AB759" t="s">
        <v>12543</v>
      </c>
      <c r="AC759" t="s">
        <v>74</v>
      </c>
      <c r="AD759" t="s">
        <v>74</v>
      </c>
      <c r="AE759" t="s">
        <v>74</v>
      </c>
      <c r="AF759" t="s">
        <v>74</v>
      </c>
      <c r="AG759">
        <v>15</v>
      </c>
      <c r="AH759">
        <v>49</v>
      </c>
      <c r="AI759">
        <v>75</v>
      </c>
      <c r="AJ759">
        <v>0</v>
      </c>
      <c r="AK759">
        <v>7</v>
      </c>
      <c r="AL759" t="s">
        <v>506</v>
      </c>
      <c r="AM759" t="s">
        <v>266</v>
      </c>
      <c r="AN759" t="s">
        <v>507</v>
      </c>
      <c r="AO759" t="s">
        <v>12544</v>
      </c>
      <c r="AP759" t="s">
        <v>74</v>
      </c>
      <c r="AQ759" t="s">
        <v>74</v>
      </c>
      <c r="AR759" t="s">
        <v>12545</v>
      </c>
      <c r="AS759" t="s">
        <v>12546</v>
      </c>
      <c r="AT759" t="s">
        <v>12252</v>
      </c>
      <c r="AU759">
        <v>2007</v>
      </c>
      <c r="AV759">
        <v>581</v>
      </c>
      <c r="AW759">
        <v>3</v>
      </c>
      <c r="AX759" t="s">
        <v>74</v>
      </c>
      <c r="AY759" t="s">
        <v>74</v>
      </c>
      <c r="AZ759" t="s">
        <v>74</v>
      </c>
      <c r="BA759" t="s">
        <v>74</v>
      </c>
      <c r="BB759">
        <v>619</v>
      </c>
      <c r="BC759">
        <v>631</v>
      </c>
      <c r="BD759" t="s">
        <v>74</v>
      </c>
      <c r="BE759" t="s">
        <v>12547</v>
      </c>
      <c r="BF759" t="str">
        <f>HYPERLINK("http://dx.doi.org/10.1016/j.nima.2007.07.143","http://dx.doi.org/10.1016/j.nima.2007.07.143")</f>
        <v>http://dx.doi.org/10.1016/j.nima.2007.07.143</v>
      </c>
      <c r="BG759" t="s">
        <v>74</v>
      </c>
      <c r="BH759" t="s">
        <v>74</v>
      </c>
      <c r="BI759">
        <v>13</v>
      </c>
      <c r="BJ759" t="s">
        <v>12548</v>
      </c>
      <c r="BK759" t="s">
        <v>97</v>
      </c>
      <c r="BL759" t="s">
        <v>12549</v>
      </c>
      <c r="BM759" t="s">
        <v>12550</v>
      </c>
      <c r="BN759" t="s">
        <v>74</v>
      </c>
      <c r="BO759" t="s">
        <v>1050</v>
      </c>
      <c r="BP759" t="s">
        <v>74</v>
      </c>
      <c r="BQ759" t="s">
        <v>74</v>
      </c>
      <c r="BR759" t="s">
        <v>100</v>
      </c>
      <c r="BS759" t="s">
        <v>12551</v>
      </c>
      <c r="BT759" t="str">
        <f>HYPERLINK("https%3A%2F%2Fwww.webofscience.com%2Fwos%2Fwoscc%2Ffull-record%2FWOS:000251148000007","View Full Record in Web of Science")</f>
        <v>View Full Record in Web of Science</v>
      </c>
    </row>
    <row r="760" spans="1:72" x14ac:dyDescent="0.15">
      <c r="A760" t="s">
        <v>72</v>
      </c>
      <c r="B760" t="s">
        <v>12552</v>
      </c>
      <c r="C760" t="s">
        <v>74</v>
      </c>
      <c r="D760" t="s">
        <v>74</v>
      </c>
      <c r="E760" t="s">
        <v>74</v>
      </c>
      <c r="F760" t="s">
        <v>12553</v>
      </c>
      <c r="G760" t="s">
        <v>74</v>
      </c>
      <c r="H760" t="s">
        <v>74</v>
      </c>
      <c r="I760" t="s">
        <v>12554</v>
      </c>
      <c r="J760" t="s">
        <v>12555</v>
      </c>
      <c r="K760" t="s">
        <v>74</v>
      </c>
      <c r="L760" t="s">
        <v>74</v>
      </c>
      <c r="M760" t="s">
        <v>78</v>
      </c>
      <c r="N760" t="s">
        <v>79</v>
      </c>
      <c r="O760" t="s">
        <v>74</v>
      </c>
      <c r="P760" t="s">
        <v>74</v>
      </c>
      <c r="Q760" t="s">
        <v>74</v>
      </c>
      <c r="R760" t="s">
        <v>74</v>
      </c>
      <c r="S760" t="s">
        <v>74</v>
      </c>
      <c r="T760" t="s">
        <v>12556</v>
      </c>
      <c r="U760" t="s">
        <v>12557</v>
      </c>
      <c r="V760" t="s">
        <v>12558</v>
      </c>
      <c r="W760" t="s">
        <v>12559</v>
      </c>
      <c r="X760" t="s">
        <v>164</v>
      </c>
      <c r="Y760" t="s">
        <v>12560</v>
      </c>
      <c r="Z760" t="s">
        <v>12561</v>
      </c>
      <c r="AA760" t="s">
        <v>12562</v>
      </c>
      <c r="AB760" t="s">
        <v>12563</v>
      </c>
      <c r="AC760" t="s">
        <v>74</v>
      </c>
      <c r="AD760" t="s">
        <v>74</v>
      </c>
      <c r="AE760" t="s">
        <v>74</v>
      </c>
      <c r="AF760" t="s">
        <v>74</v>
      </c>
      <c r="AG760">
        <v>10</v>
      </c>
      <c r="AH760">
        <v>1</v>
      </c>
      <c r="AI760">
        <v>1</v>
      </c>
      <c r="AJ760">
        <v>0</v>
      </c>
      <c r="AK760">
        <v>0</v>
      </c>
      <c r="AL760" t="s">
        <v>12564</v>
      </c>
      <c r="AM760" t="s">
        <v>1355</v>
      </c>
      <c r="AN760" t="s">
        <v>5157</v>
      </c>
      <c r="AO760" t="s">
        <v>12565</v>
      </c>
      <c r="AP760" t="s">
        <v>74</v>
      </c>
      <c r="AQ760" t="s">
        <v>74</v>
      </c>
      <c r="AR760" t="s">
        <v>12566</v>
      </c>
      <c r="AS760" t="s">
        <v>12567</v>
      </c>
      <c r="AT760" t="s">
        <v>11510</v>
      </c>
      <c r="AU760">
        <v>2007</v>
      </c>
      <c r="AV760">
        <v>46</v>
      </c>
      <c r="AW760">
        <v>11</v>
      </c>
      <c r="AX760" t="s">
        <v>74</v>
      </c>
      <c r="AY760" t="s">
        <v>74</v>
      </c>
      <c r="AZ760" t="s">
        <v>74</v>
      </c>
      <c r="BA760" t="s">
        <v>74</v>
      </c>
      <c r="BB760" t="s">
        <v>74</v>
      </c>
      <c r="BC760" t="s">
        <v>74</v>
      </c>
      <c r="BD760">
        <v>116001</v>
      </c>
      <c r="BE760" t="s">
        <v>12568</v>
      </c>
      <c r="BF760" t="str">
        <f>HYPERLINK("http://dx.doi.org/10.1117/1.2801411","http://dx.doi.org/10.1117/1.2801411")</f>
        <v>http://dx.doi.org/10.1117/1.2801411</v>
      </c>
      <c r="BG760" t="s">
        <v>74</v>
      </c>
      <c r="BH760" t="s">
        <v>74</v>
      </c>
      <c r="BI760">
        <v>8</v>
      </c>
      <c r="BJ760" t="s">
        <v>12569</v>
      </c>
      <c r="BK760" t="s">
        <v>97</v>
      </c>
      <c r="BL760" t="s">
        <v>12569</v>
      </c>
      <c r="BM760" t="s">
        <v>12570</v>
      </c>
      <c r="BN760" t="s">
        <v>74</v>
      </c>
      <c r="BO760" t="s">
        <v>74</v>
      </c>
      <c r="BP760" t="s">
        <v>74</v>
      </c>
      <c r="BQ760" t="s">
        <v>74</v>
      </c>
      <c r="BR760" t="s">
        <v>100</v>
      </c>
      <c r="BS760" t="s">
        <v>12571</v>
      </c>
      <c r="BT760" t="str">
        <f>HYPERLINK("https%3A%2F%2Fwww.webofscience.com%2Fwos%2Fwoscc%2Ffull-record%2FWOS:000251549300030","View Full Record in Web of Science")</f>
        <v>View Full Record in Web of Science</v>
      </c>
    </row>
    <row r="761" spans="1:72" x14ac:dyDescent="0.15">
      <c r="A761" t="s">
        <v>72</v>
      </c>
      <c r="B761" t="s">
        <v>12572</v>
      </c>
      <c r="C761" t="s">
        <v>74</v>
      </c>
      <c r="D761" t="s">
        <v>74</v>
      </c>
      <c r="E761" t="s">
        <v>74</v>
      </c>
      <c r="F761" t="s">
        <v>12573</v>
      </c>
      <c r="G761" t="s">
        <v>74</v>
      </c>
      <c r="H761" t="s">
        <v>74</v>
      </c>
      <c r="I761" t="s">
        <v>12574</v>
      </c>
      <c r="J761" t="s">
        <v>12575</v>
      </c>
      <c r="K761" t="s">
        <v>74</v>
      </c>
      <c r="L761" t="s">
        <v>74</v>
      </c>
      <c r="M761" t="s">
        <v>78</v>
      </c>
      <c r="N761" t="s">
        <v>79</v>
      </c>
      <c r="O761" t="s">
        <v>74</v>
      </c>
      <c r="P761" t="s">
        <v>74</v>
      </c>
      <c r="Q761" t="s">
        <v>74</v>
      </c>
      <c r="R761" t="s">
        <v>74</v>
      </c>
      <c r="S761" t="s">
        <v>74</v>
      </c>
      <c r="T761" t="s">
        <v>74</v>
      </c>
      <c r="U761" t="s">
        <v>12576</v>
      </c>
      <c r="V761" t="s">
        <v>12577</v>
      </c>
      <c r="W761" t="s">
        <v>12578</v>
      </c>
      <c r="X761" t="s">
        <v>12579</v>
      </c>
      <c r="Y761" t="s">
        <v>12580</v>
      </c>
      <c r="Z761" t="s">
        <v>12581</v>
      </c>
      <c r="AA761" t="s">
        <v>12582</v>
      </c>
      <c r="AB761" t="s">
        <v>12583</v>
      </c>
      <c r="AC761" t="s">
        <v>74</v>
      </c>
      <c r="AD761" t="s">
        <v>74</v>
      </c>
      <c r="AE761" t="s">
        <v>74</v>
      </c>
      <c r="AF761" t="s">
        <v>74</v>
      </c>
      <c r="AG761">
        <v>68</v>
      </c>
      <c r="AH761">
        <v>62</v>
      </c>
      <c r="AI761">
        <v>69</v>
      </c>
      <c r="AJ761">
        <v>2</v>
      </c>
      <c r="AK761">
        <v>16</v>
      </c>
      <c r="AL761" t="s">
        <v>12584</v>
      </c>
      <c r="AM761" t="s">
        <v>12585</v>
      </c>
      <c r="AN761" t="s">
        <v>12586</v>
      </c>
      <c r="AO761" t="s">
        <v>12587</v>
      </c>
      <c r="AP761" t="s">
        <v>74</v>
      </c>
      <c r="AQ761" t="s">
        <v>74</v>
      </c>
      <c r="AR761" t="s">
        <v>12575</v>
      </c>
      <c r="AS761" t="s">
        <v>12588</v>
      </c>
      <c r="AT761" t="s">
        <v>11510</v>
      </c>
      <c r="AU761">
        <v>2007</v>
      </c>
      <c r="AV761">
        <v>22</v>
      </c>
      <c r="AW761">
        <v>6</v>
      </c>
      <c r="AX761" t="s">
        <v>74</v>
      </c>
      <c r="AY761" t="s">
        <v>74</v>
      </c>
      <c r="AZ761" t="s">
        <v>74</v>
      </c>
      <c r="BA761" t="s">
        <v>74</v>
      </c>
      <c r="BB761">
        <v>642</v>
      </c>
      <c r="BC761">
        <v>650</v>
      </c>
      <c r="BD761" t="s">
        <v>74</v>
      </c>
      <c r="BE761" t="s">
        <v>12589</v>
      </c>
      <c r="BF761" t="str">
        <f>HYPERLINK("http://dx.doi.org/10.2110/palo.2005.p05-064r","http://dx.doi.org/10.2110/palo.2005.p05-064r")</f>
        <v>http://dx.doi.org/10.2110/palo.2005.p05-064r</v>
      </c>
      <c r="BG761" t="s">
        <v>74</v>
      </c>
      <c r="BH761" t="s">
        <v>74</v>
      </c>
      <c r="BI761">
        <v>9</v>
      </c>
      <c r="BJ761" t="s">
        <v>3909</v>
      </c>
      <c r="BK761" t="s">
        <v>97</v>
      </c>
      <c r="BL761" t="s">
        <v>3909</v>
      </c>
      <c r="BM761" t="s">
        <v>12590</v>
      </c>
      <c r="BN761" t="s">
        <v>74</v>
      </c>
      <c r="BO761" t="s">
        <v>74</v>
      </c>
      <c r="BP761" t="s">
        <v>74</v>
      </c>
      <c r="BQ761" t="s">
        <v>74</v>
      </c>
      <c r="BR761" t="s">
        <v>100</v>
      </c>
      <c r="BS761" t="s">
        <v>12591</v>
      </c>
      <c r="BT761" t="str">
        <f>HYPERLINK("https%3A%2F%2Fwww.webofscience.com%2Fwos%2Fwoscc%2Ffull-record%2FWOS:000250638000007","View Full Record in Web of Science")</f>
        <v>View Full Record in Web of Science</v>
      </c>
    </row>
    <row r="762" spans="1:72" x14ac:dyDescent="0.15">
      <c r="A762" t="s">
        <v>72</v>
      </c>
      <c r="B762" t="s">
        <v>12592</v>
      </c>
      <c r="C762" t="s">
        <v>74</v>
      </c>
      <c r="D762" t="s">
        <v>74</v>
      </c>
      <c r="E762" t="s">
        <v>74</v>
      </c>
      <c r="F762" t="s">
        <v>12593</v>
      </c>
      <c r="G762" t="s">
        <v>74</v>
      </c>
      <c r="H762" t="s">
        <v>74</v>
      </c>
      <c r="I762" t="s">
        <v>12594</v>
      </c>
      <c r="J762" t="s">
        <v>7232</v>
      </c>
      <c r="K762" t="s">
        <v>74</v>
      </c>
      <c r="L762" t="s">
        <v>74</v>
      </c>
      <c r="M762" t="s">
        <v>78</v>
      </c>
      <c r="N762" t="s">
        <v>79</v>
      </c>
      <c r="O762" t="s">
        <v>74</v>
      </c>
      <c r="P762" t="s">
        <v>74</v>
      </c>
      <c r="Q762" t="s">
        <v>74</v>
      </c>
      <c r="R762" t="s">
        <v>74</v>
      </c>
      <c r="S762" t="s">
        <v>74</v>
      </c>
      <c r="T762" t="s">
        <v>74</v>
      </c>
      <c r="U762" t="s">
        <v>12595</v>
      </c>
      <c r="V762" t="s">
        <v>12596</v>
      </c>
      <c r="W762" t="s">
        <v>12597</v>
      </c>
      <c r="X762" t="s">
        <v>12598</v>
      </c>
      <c r="Y762" t="s">
        <v>12599</v>
      </c>
      <c r="Z762" t="s">
        <v>12600</v>
      </c>
      <c r="AA762" t="s">
        <v>74</v>
      </c>
      <c r="AB762" t="s">
        <v>12601</v>
      </c>
      <c r="AC762" t="s">
        <v>74</v>
      </c>
      <c r="AD762" t="s">
        <v>74</v>
      </c>
      <c r="AE762" t="s">
        <v>74</v>
      </c>
      <c r="AF762" t="s">
        <v>74</v>
      </c>
      <c r="AG762">
        <v>15</v>
      </c>
      <c r="AH762">
        <v>14</v>
      </c>
      <c r="AI762">
        <v>17</v>
      </c>
      <c r="AJ762">
        <v>0</v>
      </c>
      <c r="AK762">
        <v>2</v>
      </c>
      <c r="AL762" t="s">
        <v>12602</v>
      </c>
      <c r="AM762" t="s">
        <v>7242</v>
      </c>
      <c r="AN762" t="s">
        <v>12603</v>
      </c>
      <c r="AO762" t="s">
        <v>7244</v>
      </c>
      <c r="AP762" t="s">
        <v>74</v>
      </c>
      <c r="AQ762" t="s">
        <v>74</v>
      </c>
      <c r="AR762" t="s">
        <v>7232</v>
      </c>
      <c r="AS762" t="s">
        <v>7245</v>
      </c>
      <c r="AT762" t="s">
        <v>11510</v>
      </c>
      <c r="AU762">
        <v>2007</v>
      </c>
      <c r="AV762">
        <v>46</v>
      </c>
      <c r="AW762">
        <v>6</v>
      </c>
      <c r="AX762" t="s">
        <v>74</v>
      </c>
      <c r="AY762" t="s">
        <v>74</v>
      </c>
      <c r="AZ762" t="s">
        <v>74</v>
      </c>
      <c r="BA762" t="s">
        <v>74</v>
      </c>
      <c r="BB762">
        <v>612</v>
      </c>
      <c r="BC762">
        <v>616</v>
      </c>
      <c r="BD762" t="s">
        <v>74</v>
      </c>
      <c r="BE762" t="s">
        <v>12604</v>
      </c>
      <c r="BF762" t="str">
        <f>HYPERLINK("http://dx.doi.org/10.2216/07-29.1","http://dx.doi.org/10.2216/07-29.1")</f>
        <v>http://dx.doi.org/10.2216/07-29.1</v>
      </c>
      <c r="BG762" t="s">
        <v>74</v>
      </c>
      <c r="BH762" t="s">
        <v>74</v>
      </c>
      <c r="BI762">
        <v>5</v>
      </c>
      <c r="BJ762" t="s">
        <v>4090</v>
      </c>
      <c r="BK762" t="s">
        <v>97</v>
      </c>
      <c r="BL762" t="s">
        <v>4090</v>
      </c>
      <c r="BM762" t="s">
        <v>12605</v>
      </c>
      <c r="BN762" t="s">
        <v>74</v>
      </c>
      <c r="BO762" t="s">
        <v>74</v>
      </c>
      <c r="BP762" t="s">
        <v>74</v>
      </c>
      <c r="BQ762" t="s">
        <v>74</v>
      </c>
      <c r="BR762" t="s">
        <v>100</v>
      </c>
      <c r="BS762" t="s">
        <v>12606</v>
      </c>
      <c r="BT762" t="str">
        <f>HYPERLINK("https%3A%2F%2Fwww.webofscience.com%2Fwos%2Fwoscc%2Ffull-record%2FWOS:000250695600002","View Full Record in Web of Science")</f>
        <v>View Full Record in Web of Science</v>
      </c>
    </row>
    <row r="763" spans="1:72" x14ac:dyDescent="0.15">
      <c r="A763" t="s">
        <v>72</v>
      </c>
      <c r="B763" t="s">
        <v>12607</v>
      </c>
      <c r="C763" t="s">
        <v>74</v>
      </c>
      <c r="D763" t="s">
        <v>74</v>
      </c>
      <c r="E763" t="s">
        <v>74</v>
      </c>
      <c r="F763" t="s">
        <v>12608</v>
      </c>
      <c r="G763" t="s">
        <v>74</v>
      </c>
      <c r="H763" t="s">
        <v>74</v>
      </c>
      <c r="I763" t="s">
        <v>12609</v>
      </c>
      <c r="J763" t="s">
        <v>12610</v>
      </c>
      <c r="K763" t="s">
        <v>74</v>
      </c>
      <c r="L763" t="s">
        <v>74</v>
      </c>
      <c r="M763" t="s">
        <v>78</v>
      </c>
      <c r="N763" t="s">
        <v>79</v>
      </c>
      <c r="O763" t="s">
        <v>74</v>
      </c>
      <c r="P763" t="s">
        <v>74</v>
      </c>
      <c r="Q763" t="s">
        <v>74</v>
      </c>
      <c r="R763" t="s">
        <v>74</v>
      </c>
      <c r="S763" t="s">
        <v>74</v>
      </c>
      <c r="T763" t="s">
        <v>12611</v>
      </c>
      <c r="U763" t="s">
        <v>12612</v>
      </c>
      <c r="V763" t="s">
        <v>12613</v>
      </c>
      <c r="W763" t="s">
        <v>12614</v>
      </c>
      <c r="X763" t="s">
        <v>2575</v>
      </c>
      <c r="Y763" t="s">
        <v>12615</v>
      </c>
      <c r="Z763" t="s">
        <v>12616</v>
      </c>
      <c r="AA763" t="s">
        <v>12617</v>
      </c>
      <c r="AB763" t="s">
        <v>12618</v>
      </c>
      <c r="AC763" t="s">
        <v>74</v>
      </c>
      <c r="AD763" t="s">
        <v>74</v>
      </c>
      <c r="AE763" t="s">
        <v>74</v>
      </c>
      <c r="AF763" t="s">
        <v>74</v>
      </c>
      <c r="AG763">
        <v>34</v>
      </c>
      <c r="AH763">
        <v>46</v>
      </c>
      <c r="AI763">
        <v>47</v>
      </c>
      <c r="AJ763">
        <v>1</v>
      </c>
      <c r="AK763">
        <v>13</v>
      </c>
      <c r="AL763" t="s">
        <v>10009</v>
      </c>
      <c r="AM763" t="s">
        <v>1532</v>
      </c>
      <c r="AN763" t="s">
        <v>10010</v>
      </c>
      <c r="AO763" t="s">
        <v>12619</v>
      </c>
      <c r="AP763" t="s">
        <v>12620</v>
      </c>
      <c r="AQ763" t="s">
        <v>74</v>
      </c>
      <c r="AR763" t="s">
        <v>12610</v>
      </c>
      <c r="AS763" t="s">
        <v>12621</v>
      </c>
      <c r="AT763" t="s">
        <v>11510</v>
      </c>
      <c r="AU763">
        <v>2007</v>
      </c>
      <c r="AV763">
        <v>58</v>
      </c>
      <c r="AW763">
        <v>3</v>
      </c>
      <c r="AX763" t="s">
        <v>74</v>
      </c>
      <c r="AY763" t="s">
        <v>74</v>
      </c>
      <c r="AZ763" t="s">
        <v>74</v>
      </c>
      <c r="BA763" t="s">
        <v>74</v>
      </c>
      <c r="BB763">
        <v>240</v>
      </c>
      <c r="BC763">
        <v>248</v>
      </c>
      <c r="BD763" t="s">
        <v>74</v>
      </c>
      <c r="BE763" t="s">
        <v>12622</v>
      </c>
      <c r="BF763" t="str">
        <f>HYPERLINK("http://dx.doi.org/10.1016/j.plasmid.2007.05.003","http://dx.doi.org/10.1016/j.plasmid.2007.05.003")</f>
        <v>http://dx.doi.org/10.1016/j.plasmid.2007.05.003</v>
      </c>
      <c r="BG763" t="s">
        <v>74</v>
      </c>
      <c r="BH763" t="s">
        <v>74</v>
      </c>
      <c r="BI763">
        <v>9</v>
      </c>
      <c r="BJ763" t="s">
        <v>12623</v>
      </c>
      <c r="BK763" t="s">
        <v>97</v>
      </c>
      <c r="BL763" t="s">
        <v>12623</v>
      </c>
      <c r="BM763" t="s">
        <v>12624</v>
      </c>
      <c r="BN763">
        <v>17629557</v>
      </c>
      <c r="BO763" t="s">
        <v>74</v>
      </c>
      <c r="BP763" t="s">
        <v>74</v>
      </c>
      <c r="BQ763" t="s">
        <v>74</v>
      </c>
      <c r="BR763" t="s">
        <v>100</v>
      </c>
      <c r="BS763" t="s">
        <v>12625</v>
      </c>
      <c r="BT763" t="str">
        <f>HYPERLINK("https%3A%2F%2Fwww.webofscience.com%2Fwos%2Fwoscc%2Ffull-record%2FWOS:000251107100003","View Full Record in Web of Science")</f>
        <v>View Full Record in Web of Science</v>
      </c>
    </row>
    <row r="764" spans="1:72" x14ac:dyDescent="0.15">
      <c r="A764" t="s">
        <v>72</v>
      </c>
      <c r="B764" t="s">
        <v>12626</v>
      </c>
      <c r="C764" t="s">
        <v>74</v>
      </c>
      <c r="D764" t="s">
        <v>74</v>
      </c>
      <c r="E764" t="s">
        <v>74</v>
      </c>
      <c r="F764" t="s">
        <v>12627</v>
      </c>
      <c r="G764" t="s">
        <v>74</v>
      </c>
      <c r="H764" t="s">
        <v>74</v>
      </c>
      <c r="I764" t="s">
        <v>12628</v>
      </c>
      <c r="J764" t="s">
        <v>7269</v>
      </c>
      <c r="K764" t="s">
        <v>74</v>
      </c>
      <c r="L764" t="s">
        <v>74</v>
      </c>
      <c r="M764" t="s">
        <v>78</v>
      </c>
      <c r="N764" t="s">
        <v>79</v>
      </c>
      <c r="O764" t="s">
        <v>74</v>
      </c>
      <c r="P764" t="s">
        <v>74</v>
      </c>
      <c r="Q764" t="s">
        <v>74</v>
      </c>
      <c r="R764" t="s">
        <v>74</v>
      </c>
      <c r="S764" t="s">
        <v>74</v>
      </c>
      <c r="T764" t="s">
        <v>12629</v>
      </c>
      <c r="U764" t="s">
        <v>12630</v>
      </c>
      <c r="V764" t="s">
        <v>12631</v>
      </c>
      <c r="W764" t="s">
        <v>12632</v>
      </c>
      <c r="X764" t="s">
        <v>12633</v>
      </c>
      <c r="Y764" t="s">
        <v>12634</v>
      </c>
      <c r="Z764" t="s">
        <v>12635</v>
      </c>
      <c r="AA764" t="s">
        <v>74</v>
      </c>
      <c r="AB764" t="s">
        <v>74</v>
      </c>
      <c r="AC764" t="s">
        <v>74</v>
      </c>
      <c r="AD764" t="s">
        <v>74</v>
      </c>
      <c r="AE764" t="s">
        <v>74</v>
      </c>
      <c r="AF764" t="s">
        <v>74</v>
      </c>
      <c r="AG764">
        <v>46</v>
      </c>
      <c r="AH764">
        <v>23</v>
      </c>
      <c r="AI764">
        <v>31</v>
      </c>
      <c r="AJ764">
        <v>0</v>
      </c>
      <c r="AK764">
        <v>25</v>
      </c>
      <c r="AL764" t="s">
        <v>1265</v>
      </c>
      <c r="AM764" t="s">
        <v>662</v>
      </c>
      <c r="AN764" t="s">
        <v>1266</v>
      </c>
      <c r="AO764" t="s">
        <v>7277</v>
      </c>
      <c r="AP764" t="s">
        <v>7278</v>
      </c>
      <c r="AQ764" t="s">
        <v>74</v>
      </c>
      <c r="AR764" t="s">
        <v>7279</v>
      </c>
      <c r="AS764" t="s">
        <v>7280</v>
      </c>
      <c r="AT764" t="s">
        <v>11510</v>
      </c>
      <c r="AU764">
        <v>2007</v>
      </c>
      <c r="AV764">
        <v>30</v>
      </c>
      <c r="AW764">
        <v>12</v>
      </c>
      <c r="AX764" t="s">
        <v>74</v>
      </c>
      <c r="AY764" t="s">
        <v>74</v>
      </c>
      <c r="AZ764" t="s">
        <v>74</v>
      </c>
      <c r="BA764" t="s">
        <v>74</v>
      </c>
      <c r="BB764">
        <v>1513</v>
      </c>
      <c r="BC764">
        <v>1522</v>
      </c>
      <c r="BD764" t="s">
        <v>74</v>
      </c>
      <c r="BE764" t="s">
        <v>12636</v>
      </c>
      <c r="BF764" t="str">
        <f>HYPERLINK("http://dx.doi.org/10.1007/s00300-007-0312-0","http://dx.doi.org/10.1007/s00300-007-0312-0")</f>
        <v>http://dx.doi.org/10.1007/s00300-007-0312-0</v>
      </c>
      <c r="BG764" t="s">
        <v>74</v>
      </c>
      <c r="BH764" t="s">
        <v>74</v>
      </c>
      <c r="BI764">
        <v>10</v>
      </c>
      <c r="BJ764" t="s">
        <v>7282</v>
      </c>
      <c r="BK764" t="s">
        <v>97</v>
      </c>
      <c r="BL764" t="s">
        <v>7283</v>
      </c>
      <c r="BM764" t="s">
        <v>12637</v>
      </c>
      <c r="BN764" t="s">
        <v>74</v>
      </c>
      <c r="BO764" t="s">
        <v>74</v>
      </c>
      <c r="BP764" t="s">
        <v>74</v>
      </c>
      <c r="BQ764" t="s">
        <v>74</v>
      </c>
      <c r="BR764" t="s">
        <v>100</v>
      </c>
      <c r="BS764" t="s">
        <v>12638</v>
      </c>
      <c r="BT764" t="str">
        <f>HYPERLINK("https%3A%2F%2Fwww.webofscience.com%2Fwos%2Fwoscc%2Ffull-record%2FWOS:000249920800001","View Full Record in Web of Science")</f>
        <v>View Full Record in Web of Science</v>
      </c>
    </row>
    <row r="765" spans="1:72" x14ac:dyDescent="0.15">
      <c r="A765" t="s">
        <v>72</v>
      </c>
      <c r="B765" t="s">
        <v>12639</v>
      </c>
      <c r="C765" t="s">
        <v>74</v>
      </c>
      <c r="D765" t="s">
        <v>74</v>
      </c>
      <c r="E765" t="s">
        <v>74</v>
      </c>
      <c r="F765" t="s">
        <v>12640</v>
      </c>
      <c r="G765" t="s">
        <v>74</v>
      </c>
      <c r="H765" t="s">
        <v>74</v>
      </c>
      <c r="I765" t="s">
        <v>12641</v>
      </c>
      <c r="J765" t="s">
        <v>7269</v>
      </c>
      <c r="K765" t="s">
        <v>74</v>
      </c>
      <c r="L765" t="s">
        <v>74</v>
      </c>
      <c r="M765" t="s">
        <v>78</v>
      </c>
      <c r="N765" t="s">
        <v>79</v>
      </c>
      <c r="O765" t="s">
        <v>74</v>
      </c>
      <c r="P765" t="s">
        <v>74</v>
      </c>
      <c r="Q765" t="s">
        <v>74</v>
      </c>
      <c r="R765" t="s">
        <v>74</v>
      </c>
      <c r="S765" t="s">
        <v>74</v>
      </c>
      <c r="T765" t="s">
        <v>12642</v>
      </c>
      <c r="U765" t="s">
        <v>12643</v>
      </c>
      <c r="V765" t="s">
        <v>12644</v>
      </c>
      <c r="W765" t="s">
        <v>12645</v>
      </c>
      <c r="X765" t="s">
        <v>440</v>
      </c>
      <c r="Y765" t="s">
        <v>12646</v>
      </c>
      <c r="Z765" t="s">
        <v>5337</v>
      </c>
      <c r="AA765" t="s">
        <v>12647</v>
      </c>
      <c r="AB765" t="s">
        <v>12648</v>
      </c>
      <c r="AC765" t="s">
        <v>2597</v>
      </c>
      <c r="AD765" t="s">
        <v>242</v>
      </c>
      <c r="AE765" t="s">
        <v>74</v>
      </c>
      <c r="AF765" t="s">
        <v>74</v>
      </c>
      <c r="AG765">
        <v>45</v>
      </c>
      <c r="AH765">
        <v>37</v>
      </c>
      <c r="AI765">
        <v>42</v>
      </c>
      <c r="AJ765">
        <v>2</v>
      </c>
      <c r="AK765">
        <v>10</v>
      </c>
      <c r="AL765" t="s">
        <v>1265</v>
      </c>
      <c r="AM765" t="s">
        <v>662</v>
      </c>
      <c r="AN765" t="s">
        <v>1266</v>
      </c>
      <c r="AO765" t="s">
        <v>7277</v>
      </c>
      <c r="AP765" t="s">
        <v>7278</v>
      </c>
      <c r="AQ765" t="s">
        <v>74</v>
      </c>
      <c r="AR765" t="s">
        <v>7279</v>
      </c>
      <c r="AS765" t="s">
        <v>7280</v>
      </c>
      <c r="AT765" t="s">
        <v>11510</v>
      </c>
      <c r="AU765">
        <v>2007</v>
      </c>
      <c r="AV765">
        <v>30</v>
      </c>
      <c r="AW765">
        <v>12</v>
      </c>
      <c r="AX765" t="s">
        <v>74</v>
      </c>
      <c r="AY765" t="s">
        <v>74</v>
      </c>
      <c r="AZ765" t="s">
        <v>74</v>
      </c>
      <c r="BA765" t="s">
        <v>74</v>
      </c>
      <c r="BB765">
        <v>1523</v>
      </c>
      <c r="BC765">
        <v>1533</v>
      </c>
      <c r="BD765" t="s">
        <v>74</v>
      </c>
      <c r="BE765" t="s">
        <v>12649</v>
      </c>
      <c r="BF765" t="str">
        <f>HYPERLINK("http://dx.doi.org/10.1007/s00300-007-0313-z","http://dx.doi.org/10.1007/s00300-007-0313-z")</f>
        <v>http://dx.doi.org/10.1007/s00300-007-0313-z</v>
      </c>
      <c r="BG765" t="s">
        <v>74</v>
      </c>
      <c r="BH765" t="s">
        <v>74</v>
      </c>
      <c r="BI765">
        <v>11</v>
      </c>
      <c r="BJ765" t="s">
        <v>7282</v>
      </c>
      <c r="BK765" t="s">
        <v>97</v>
      </c>
      <c r="BL765" t="s">
        <v>7283</v>
      </c>
      <c r="BM765" t="s">
        <v>12637</v>
      </c>
      <c r="BN765" t="s">
        <v>74</v>
      </c>
      <c r="BO765" t="s">
        <v>250</v>
      </c>
      <c r="BP765" t="s">
        <v>74</v>
      </c>
      <c r="BQ765" t="s">
        <v>74</v>
      </c>
      <c r="BR765" t="s">
        <v>100</v>
      </c>
      <c r="BS765" t="s">
        <v>12650</v>
      </c>
      <c r="BT765" t="str">
        <f>HYPERLINK("https%3A%2F%2Fwww.webofscience.com%2Fwos%2Fwoscc%2Ffull-record%2FWOS:000249920800002","View Full Record in Web of Science")</f>
        <v>View Full Record in Web of Science</v>
      </c>
    </row>
    <row r="766" spans="1:72" x14ac:dyDescent="0.15">
      <c r="A766" t="s">
        <v>72</v>
      </c>
      <c r="B766" t="s">
        <v>12651</v>
      </c>
      <c r="C766" t="s">
        <v>74</v>
      </c>
      <c r="D766" t="s">
        <v>74</v>
      </c>
      <c r="E766" t="s">
        <v>74</v>
      </c>
      <c r="F766" t="s">
        <v>12652</v>
      </c>
      <c r="G766" t="s">
        <v>74</v>
      </c>
      <c r="H766" t="s">
        <v>74</v>
      </c>
      <c r="I766" t="s">
        <v>12653</v>
      </c>
      <c r="J766" t="s">
        <v>7269</v>
      </c>
      <c r="K766" t="s">
        <v>74</v>
      </c>
      <c r="L766" t="s">
        <v>74</v>
      </c>
      <c r="M766" t="s">
        <v>78</v>
      </c>
      <c r="N766" t="s">
        <v>79</v>
      </c>
      <c r="O766" t="s">
        <v>74</v>
      </c>
      <c r="P766" t="s">
        <v>74</v>
      </c>
      <c r="Q766" t="s">
        <v>74</v>
      </c>
      <c r="R766" t="s">
        <v>74</v>
      </c>
      <c r="S766" t="s">
        <v>74</v>
      </c>
      <c r="T766" t="s">
        <v>74</v>
      </c>
      <c r="U766" t="s">
        <v>12654</v>
      </c>
      <c r="V766" t="s">
        <v>12655</v>
      </c>
      <c r="W766" t="s">
        <v>12656</v>
      </c>
      <c r="X766" t="s">
        <v>12657</v>
      </c>
      <c r="Y766" t="s">
        <v>12658</v>
      </c>
      <c r="Z766" t="s">
        <v>12659</v>
      </c>
      <c r="AA766" t="s">
        <v>12660</v>
      </c>
      <c r="AB766" t="s">
        <v>12661</v>
      </c>
      <c r="AC766" t="s">
        <v>74</v>
      </c>
      <c r="AD766" t="s">
        <v>74</v>
      </c>
      <c r="AE766" t="s">
        <v>74</v>
      </c>
      <c r="AF766" t="s">
        <v>74</v>
      </c>
      <c r="AG766">
        <v>44</v>
      </c>
      <c r="AH766">
        <v>15</v>
      </c>
      <c r="AI766">
        <v>15</v>
      </c>
      <c r="AJ766">
        <v>1</v>
      </c>
      <c r="AK766">
        <v>25</v>
      </c>
      <c r="AL766" t="s">
        <v>1265</v>
      </c>
      <c r="AM766" t="s">
        <v>662</v>
      </c>
      <c r="AN766" t="s">
        <v>1266</v>
      </c>
      <c r="AO766" t="s">
        <v>7277</v>
      </c>
      <c r="AP766" t="s">
        <v>74</v>
      </c>
      <c r="AQ766" t="s">
        <v>74</v>
      </c>
      <c r="AR766" t="s">
        <v>7279</v>
      </c>
      <c r="AS766" t="s">
        <v>7280</v>
      </c>
      <c r="AT766" t="s">
        <v>11510</v>
      </c>
      <c r="AU766">
        <v>2007</v>
      </c>
      <c r="AV766">
        <v>30</v>
      </c>
      <c r="AW766">
        <v>12</v>
      </c>
      <c r="AX766" t="s">
        <v>74</v>
      </c>
      <c r="AY766" t="s">
        <v>74</v>
      </c>
      <c r="AZ766" t="s">
        <v>74</v>
      </c>
      <c r="BA766" t="s">
        <v>74</v>
      </c>
      <c r="BB766">
        <v>1535</v>
      </c>
      <c r="BC766">
        <v>1544</v>
      </c>
      <c r="BD766" t="s">
        <v>74</v>
      </c>
      <c r="BE766" t="s">
        <v>12662</v>
      </c>
      <c r="BF766" t="str">
        <f>HYPERLINK("http://dx.doi.org/10.1007/s00300-007-0314-y","http://dx.doi.org/10.1007/s00300-007-0314-y")</f>
        <v>http://dx.doi.org/10.1007/s00300-007-0314-y</v>
      </c>
      <c r="BG766" t="s">
        <v>74</v>
      </c>
      <c r="BH766" t="s">
        <v>74</v>
      </c>
      <c r="BI766">
        <v>10</v>
      </c>
      <c r="BJ766" t="s">
        <v>7282</v>
      </c>
      <c r="BK766" t="s">
        <v>97</v>
      </c>
      <c r="BL766" t="s">
        <v>7283</v>
      </c>
      <c r="BM766" t="s">
        <v>12637</v>
      </c>
      <c r="BN766" t="s">
        <v>74</v>
      </c>
      <c r="BO766" t="s">
        <v>74</v>
      </c>
      <c r="BP766" t="s">
        <v>74</v>
      </c>
      <c r="BQ766" t="s">
        <v>74</v>
      </c>
      <c r="BR766" t="s">
        <v>100</v>
      </c>
      <c r="BS766" t="s">
        <v>12663</v>
      </c>
      <c r="BT766" t="str">
        <f>HYPERLINK("https%3A%2F%2Fwww.webofscience.com%2Fwos%2Fwoscc%2Ffull-record%2FWOS:000249920800003","View Full Record in Web of Science")</f>
        <v>View Full Record in Web of Science</v>
      </c>
    </row>
    <row r="767" spans="1:72" x14ac:dyDescent="0.15">
      <c r="A767" t="s">
        <v>72</v>
      </c>
      <c r="B767" t="s">
        <v>12664</v>
      </c>
      <c r="C767" t="s">
        <v>74</v>
      </c>
      <c r="D767" t="s">
        <v>74</v>
      </c>
      <c r="E767" t="s">
        <v>74</v>
      </c>
      <c r="F767" t="s">
        <v>12665</v>
      </c>
      <c r="G767" t="s">
        <v>74</v>
      </c>
      <c r="H767" t="s">
        <v>74</v>
      </c>
      <c r="I767" t="s">
        <v>12666</v>
      </c>
      <c r="J767" t="s">
        <v>7269</v>
      </c>
      <c r="K767" t="s">
        <v>74</v>
      </c>
      <c r="L767" t="s">
        <v>74</v>
      </c>
      <c r="M767" t="s">
        <v>78</v>
      </c>
      <c r="N767" t="s">
        <v>79</v>
      </c>
      <c r="O767" t="s">
        <v>74</v>
      </c>
      <c r="P767" t="s">
        <v>74</v>
      </c>
      <c r="Q767" t="s">
        <v>74</v>
      </c>
      <c r="R767" t="s">
        <v>74</v>
      </c>
      <c r="S767" t="s">
        <v>74</v>
      </c>
      <c r="T767" t="s">
        <v>74</v>
      </c>
      <c r="U767" t="s">
        <v>12667</v>
      </c>
      <c r="V767" t="s">
        <v>12668</v>
      </c>
      <c r="W767" t="s">
        <v>12669</v>
      </c>
      <c r="X767" t="s">
        <v>12670</v>
      </c>
      <c r="Y767" t="s">
        <v>12671</v>
      </c>
      <c r="Z767" t="s">
        <v>12672</v>
      </c>
      <c r="AA767" t="s">
        <v>12673</v>
      </c>
      <c r="AB767" t="s">
        <v>12674</v>
      </c>
      <c r="AC767" t="s">
        <v>74</v>
      </c>
      <c r="AD767" t="s">
        <v>74</v>
      </c>
      <c r="AE767" t="s">
        <v>74</v>
      </c>
      <c r="AF767" t="s">
        <v>74</v>
      </c>
      <c r="AG767">
        <v>72</v>
      </c>
      <c r="AH767">
        <v>11</v>
      </c>
      <c r="AI767">
        <v>14</v>
      </c>
      <c r="AJ767">
        <v>0</v>
      </c>
      <c r="AK767">
        <v>3</v>
      </c>
      <c r="AL767" t="s">
        <v>1265</v>
      </c>
      <c r="AM767" t="s">
        <v>662</v>
      </c>
      <c r="AN767" t="s">
        <v>1298</v>
      </c>
      <c r="AO767" t="s">
        <v>7277</v>
      </c>
      <c r="AP767" t="s">
        <v>7278</v>
      </c>
      <c r="AQ767" t="s">
        <v>74</v>
      </c>
      <c r="AR767" t="s">
        <v>7279</v>
      </c>
      <c r="AS767" t="s">
        <v>7280</v>
      </c>
      <c r="AT767" t="s">
        <v>11510</v>
      </c>
      <c r="AU767">
        <v>2007</v>
      </c>
      <c r="AV767">
        <v>30</v>
      </c>
      <c r="AW767">
        <v>12</v>
      </c>
      <c r="AX767" t="s">
        <v>74</v>
      </c>
      <c r="AY767" t="s">
        <v>74</v>
      </c>
      <c r="AZ767" t="s">
        <v>74</v>
      </c>
      <c r="BA767" t="s">
        <v>74</v>
      </c>
      <c r="BB767">
        <v>1545</v>
      </c>
      <c r="BC767">
        <v>1555</v>
      </c>
      <c r="BD767" t="s">
        <v>74</v>
      </c>
      <c r="BE767" t="s">
        <v>12675</v>
      </c>
      <c r="BF767" t="str">
        <f>HYPERLINK("http://dx.doi.org/10.1007/s00300-007-0315-x","http://dx.doi.org/10.1007/s00300-007-0315-x")</f>
        <v>http://dx.doi.org/10.1007/s00300-007-0315-x</v>
      </c>
      <c r="BG767" t="s">
        <v>74</v>
      </c>
      <c r="BH767" t="s">
        <v>74</v>
      </c>
      <c r="BI767">
        <v>11</v>
      </c>
      <c r="BJ767" t="s">
        <v>7282</v>
      </c>
      <c r="BK767" t="s">
        <v>97</v>
      </c>
      <c r="BL767" t="s">
        <v>7283</v>
      </c>
      <c r="BM767" t="s">
        <v>12637</v>
      </c>
      <c r="BN767" t="s">
        <v>74</v>
      </c>
      <c r="BO767" t="s">
        <v>74</v>
      </c>
      <c r="BP767" t="s">
        <v>74</v>
      </c>
      <c r="BQ767" t="s">
        <v>74</v>
      </c>
      <c r="BR767" t="s">
        <v>100</v>
      </c>
      <c r="BS767" t="s">
        <v>12676</v>
      </c>
      <c r="BT767" t="str">
        <f>HYPERLINK("https%3A%2F%2Fwww.webofscience.com%2Fwos%2Fwoscc%2Ffull-record%2FWOS:000249920800004","View Full Record in Web of Science")</f>
        <v>View Full Record in Web of Science</v>
      </c>
    </row>
    <row r="768" spans="1:72" x14ac:dyDescent="0.15">
      <c r="A768" t="s">
        <v>72</v>
      </c>
      <c r="B768" t="s">
        <v>12677</v>
      </c>
      <c r="C768" t="s">
        <v>74</v>
      </c>
      <c r="D768" t="s">
        <v>74</v>
      </c>
      <c r="E768" t="s">
        <v>74</v>
      </c>
      <c r="F768" t="s">
        <v>12678</v>
      </c>
      <c r="G768" t="s">
        <v>74</v>
      </c>
      <c r="H768" t="s">
        <v>74</v>
      </c>
      <c r="I768" t="s">
        <v>12679</v>
      </c>
      <c r="J768" t="s">
        <v>7269</v>
      </c>
      <c r="K768" t="s">
        <v>74</v>
      </c>
      <c r="L768" t="s">
        <v>74</v>
      </c>
      <c r="M768" t="s">
        <v>78</v>
      </c>
      <c r="N768" t="s">
        <v>79</v>
      </c>
      <c r="O768" t="s">
        <v>74</v>
      </c>
      <c r="P768" t="s">
        <v>74</v>
      </c>
      <c r="Q768" t="s">
        <v>74</v>
      </c>
      <c r="R768" t="s">
        <v>74</v>
      </c>
      <c r="S768" t="s">
        <v>74</v>
      </c>
      <c r="T768" t="s">
        <v>12680</v>
      </c>
      <c r="U768" t="s">
        <v>12681</v>
      </c>
      <c r="V768" t="s">
        <v>12682</v>
      </c>
      <c r="W768" t="s">
        <v>12683</v>
      </c>
      <c r="X768" t="s">
        <v>12684</v>
      </c>
      <c r="Y768" t="s">
        <v>12685</v>
      </c>
      <c r="Z768" t="s">
        <v>12686</v>
      </c>
      <c r="AA768" t="s">
        <v>12687</v>
      </c>
      <c r="AB768" t="s">
        <v>12688</v>
      </c>
      <c r="AC768" t="s">
        <v>12689</v>
      </c>
      <c r="AD768" t="s">
        <v>242</v>
      </c>
      <c r="AE768" t="s">
        <v>74</v>
      </c>
      <c r="AF768" t="s">
        <v>74</v>
      </c>
      <c r="AG768">
        <v>57</v>
      </c>
      <c r="AH768">
        <v>15</v>
      </c>
      <c r="AI768">
        <v>17</v>
      </c>
      <c r="AJ768">
        <v>0</v>
      </c>
      <c r="AK768">
        <v>16</v>
      </c>
      <c r="AL768" t="s">
        <v>1265</v>
      </c>
      <c r="AM768" t="s">
        <v>662</v>
      </c>
      <c r="AN768" t="s">
        <v>1266</v>
      </c>
      <c r="AO768" t="s">
        <v>7277</v>
      </c>
      <c r="AP768" t="s">
        <v>7278</v>
      </c>
      <c r="AQ768" t="s">
        <v>74</v>
      </c>
      <c r="AR768" t="s">
        <v>7279</v>
      </c>
      <c r="AS768" t="s">
        <v>7280</v>
      </c>
      <c r="AT768" t="s">
        <v>11510</v>
      </c>
      <c r="AU768">
        <v>2007</v>
      </c>
      <c r="AV768">
        <v>30</v>
      </c>
      <c r="AW768">
        <v>12</v>
      </c>
      <c r="AX768" t="s">
        <v>74</v>
      </c>
      <c r="AY768" t="s">
        <v>74</v>
      </c>
      <c r="AZ768" t="s">
        <v>74</v>
      </c>
      <c r="BA768" t="s">
        <v>74</v>
      </c>
      <c r="BB768">
        <v>1579</v>
      </c>
      <c r="BC768">
        <v>1592</v>
      </c>
      <c r="BD768" t="s">
        <v>74</v>
      </c>
      <c r="BE768" t="s">
        <v>12690</v>
      </c>
      <c r="BF768" t="str">
        <f>HYPERLINK("http://dx.doi.org/10.1007/s00300-007-0319-6","http://dx.doi.org/10.1007/s00300-007-0319-6")</f>
        <v>http://dx.doi.org/10.1007/s00300-007-0319-6</v>
      </c>
      <c r="BG768" t="s">
        <v>74</v>
      </c>
      <c r="BH768" t="s">
        <v>74</v>
      </c>
      <c r="BI768">
        <v>14</v>
      </c>
      <c r="BJ768" t="s">
        <v>7282</v>
      </c>
      <c r="BK768" t="s">
        <v>97</v>
      </c>
      <c r="BL768" t="s">
        <v>7283</v>
      </c>
      <c r="BM768" t="s">
        <v>12637</v>
      </c>
      <c r="BN768" t="s">
        <v>74</v>
      </c>
      <c r="BO768" t="s">
        <v>74</v>
      </c>
      <c r="BP768" t="s">
        <v>74</v>
      </c>
      <c r="BQ768" t="s">
        <v>74</v>
      </c>
      <c r="BR768" t="s">
        <v>100</v>
      </c>
      <c r="BS768" t="s">
        <v>12691</v>
      </c>
      <c r="BT768" t="str">
        <f>HYPERLINK("https%3A%2F%2Fwww.webofscience.com%2Fwos%2Fwoscc%2Ffull-record%2FWOS:000249920800008","View Full Record in Web of Science")</f>
        <v>View Full Record in Web of Science</v>
      </c>
    </row>
    <row r="769" spans="1:72" x14ac:dyDescent="0.15">
      <c r="A769" t="s">
        <v>72</v>
      </c>
      <c r="B769" t="s">
        <v>12692</v>
      </c>
      <c r="C769" t="s">
        <v>74</v>
      </c>
      <c r="D769" t="s">
        <v>74</v>
      </c>
      <c r="E769" t="s">
        <v>74</v>
      </c>
      <c r="F769" t="s">
        <v>12693</v>
      </c>
      <c r="G769" t="s">
        <v>74</v>
      </c>
      <c r="H769" t="s">
        <v>74</v>
      </c>
      <c r="I769" t="s">
        <v>12694</v>
      </c>
      <c r="J769" t="s">
        <v>7269</v>
      </c>
      <c r="K769" t="s">
        <v>74</v>
      </c>
      <c r="L769" t="s">
        <v>74</v>
      </c>
      <c r="M769" t="s">
        <v>78</v>
      </c>
      <c r="N769" t="s">
        <v>79</v>
      </c>
      <c r="O769" t="s">
        <v>74</v>
      </c>
      <c r="P769" t="s">
        <v>74</v>
      </c>
      <c r="Q769" t="s">
        <v>74</v>
      </c>
      <c r="R769" t="s">
        <v>74</v>
      </c>
      <c r="S769" t="s">
        <v>74</v>
      </c>
      <c r="T769" t="s">
        <v>12695</v>
      </c>
      <c r="U769" t="s">
        <v>12696</v>
      </c>
      <c r="V769" t="s">
        <v>12697</v>
      </c>
      <c r="W769" t="s">
        <v>12698</v>
      </c>
      <c r="X769" t="s">
        <v>12699</v>
      </c>
      <c r="Y769" t="s">
        <v>12700</v>
      </c>
      <c r="Z769" t="s">
        <v>12701</v>
      </c>
      <c r="AA769" t="s">
        <v>12702</v>
      </c>
      <c r="AB769" t="s">
        <v>12703</v>
      </c>
      <c r="AC769" t="s">
        <v>74</v>
      </c>
      <c r="AD769" t="s">
        <v>74</v>
      </c>
      <c r="AE769" t="s">
        <v>74</v>
      </c>
      <c r="AF769" t="s">
        <v>74</v>
      </c>
      <c r="AG769">
        <v>31</v>
      </c>
      <c r="AH769">
        <v>20</v>
      </c>
      <c r="AI769">
        <v>21</v>
      </c>
      <c r="AJ769">
        <v>0</v>
      </c>
      <c r="AK769">
        <v>14</v>
      </c>
      <c r="AL769" t="s">
        <v>1265</v>
      </c>
      <c r="AM769" t="s">
        <v>662</v>
      </c>
      <c r="AN769" t="s">
        <v>1298</v>
      </c>
      <c r="AO769" t="s">
        <v>7277</v>
      </c>
      <c r="AP769" t="s">
        <v>7278</v>
      </c>
      <c r="AQ769" t="s">
        <v>74</v>
      </c>
      <c r="AR769" t="s">
        <v>7279</v>
      </c>
      <c r="AS769" t="s">
        <v>7280</v>
      </c>
      <c r="AT769" t="s">
        <v>11510</v>
      </c>
      <c r="AU769">
        <v>2007</v>
      </c>
      <c r="AV769">
        <v>30</v>
      </c>
      <c r="AW769">
        <v>12</v>
      </c>
      <c r="AX769" t="s">
        <v>74</v>
      </c>
      <c r="AY769" t="s">
        <v>74</v>
      </c>
      <c r="AZ769" t="s">
        <v>74</v>
      </c>
      <c r="BA769" t="s">
        <v>74</v>
      </c>
      <c r="BB769">
        <v>1599</v>
      </c>
      <c r="BC769">
        <v>1603</v>
      </c>
      <c r="BD769" t="s">
        <v>74</v>
      </c>
      <c r="BE769" t="s">
        <v>12704</v>
      </c>
      <c r="BF769" t="str">
        <f>HYPERLINK("http://dx.doi.org/10.1007/s00300-007-0324-9","http://dx.doi.org/10.1007/s00300-007-0324-9")</f>
        <v>http://dx.doi.org/10.1007/s00300-007-0324-9</v>
      </c>
      <c r="BG769" t="s">
        <v>74</v>
      </c>
      <c r="BH769" t="s">
        <v>74</v>
      </c>
      <c r="BI769">
        <v>5</v>
      </c>
      <c r="BJ769" t="s">
        <v>7282</v>
      </c>
      <c r="BK769" t="s">
        <v>97</v>
      </c>
      <c r="BL769" t="s">
        <v>7283</v>
      </c>
      <c r="BM769" t="s">
        <v>12637</v>
      </c>
      <c r="BN769" t="s">
        <v>74</v>
      </c>
      <c r="BO769" t="s">
        <v>74</v>
      </c>
      <c r="BP769" t="s">
        <v>74</v>
      </c>
      <c r="BQ769" t="s">
        <v>74</v>
      </c>
      <c r="BR769" t="s">
        <v>100</v>
      </c>
      <c r="BS769" t="s">
        <v>12705</v>
      </c>
      <c r="BT769" t="str">
        <f>HYPERLINK("https%3A%2F%2Fwww.webofscience.com%2Fwos%2Fwoscc%2Ffull-record%2FWOS:000249920800010","View Full Record in Web of Science")</f>
        <v>View Full Record in Web of Science</v>
      </c>
    </row>
    <row r="770" spans="1:72" x14ac:dyDescent="0.15">
      <c r="A770" t="s">
        <v>72</v>
      </c>
      <c r="B770" t="s">
        <v>12706</v>
      </c>
      <c r="C770" t="s">
        <v>74</v>
      </c>
      <c r="D770" t="s">
        <v>74</v>
      </c>
      <c r="E770" t="s">
        <v>74</v>
      </c>
      <c r="F770" t="s">
        <v>12707</v>
      </c>
      <c r="G770" t="s">
        <v>74</v>
      </c>
      <c r="H770" t="s">
        <v>74</v>
      </c>
      <c r="I770" t="s">
        <v>12708</v>
      </c>
      <c r="J770" t="s">
        <v>7269</v>
      </c>
      <c r="K770" t="s">
        <v>74</v>
      </c>
      <c r="L770" t="s">
        <v>74</v>
      </c>
      <c r="M770" t="s">
        <v>78</v>
      </c>
      <c r="N770" t="s">
        <v>79</v>
      </c>
      <c r="O770" t="s">
        <v>74</v>
      </c>
      <c r="P770" t="s">
        <v>74</v>
      </c>
      <c r="Q770" t="s">
        <v>74</v>
      </c>
      <c r="R770" t="s">
        <v>74</v>
      </c>
      <c r="S770" t="s">
        <v>74</v>
      </c>
      <c r="T770" t="s">
        <v>12709</v>
      </c>
      <c r="U770" t="s">
        <v>12710</v>
      </c>
      <c r="V770" t="s">
        <v>12711</v>
      </c>
      <c r="W770" t="s">
        <v>12712</v>
      </c>
      <c r="X770" t="s">
        <v>12713</v>
      </c>
      <c r="Y770" t="s">
        <v>12714</v>
      </c>
      <c r="Z770" t="s">
        <v>12715</v>
      </c>
      <c r="AA770" t="s">
        <v>12716</v>
      </c>
      <c r="AB770" t="s">
        <v>12717</v>
      </c>
      <c r="AC770" t="s">
        <v>74</v>
      </c>
      <c r="AD770" t="s">
        <v>74</v>
      </c>
      <c r="AE770" t="s">
        <v>74</v>
      </c>
      <c r="AF770" t="s">
        <v>74</v>
      </c>
      <c r="AG770">
        <v>61</v>
      </c>
      <c r="AH770">
        <v>13</v>
      </c>
      <c r="AI770">
        <v>14</v>
      </c>
      <c r="AJ770">
        <v>0</v>
      </c>
      <c r="AK770">
        <v>12</v>
      </c>
      <c r="AL770" t="s">
        <v>1265</v>
      </c>
      <c r="AM770" t="s">
        <v>662</v>
      </c>
      <c r="AN770" t="s">
        <v>1298</v>
      </c>
      <c r="AO770" t="s">
        <v>7277</v>
      </c>
      <c r="AP770" t="s">
        <v>7278</v>
      </c>
      <c r="AQ770" t="s">
        <v>74</v>
      </c>
      <c r="AR770" t="s">
        <v>7279</v>
      </c>
      <c r="AS770" t="s">
        <v>7280</v>
      </c>
      <c r="AT770" t="s">
        <v>11510</v>
      </c>
      <c r="AU770">
        <v>2007</v>
      </c>
      <c r="AV770">
        <v>30</v>
      </c>
      <c r="AW770">
        <v>12</v>
      </c>
      <c r="AX770" t="s">
        <v>74</v>
      </c>
      <c r="AY770" t="s">
        <v>74</v>
      </c>
      <c r="AZ770" t="s">
        <v>74</v>
      </c>
      <c r="BA770" t="s">
        <v>74</v>
      </c>
      <c r="BB770">
        <v>1605</v>
      </c>
      <c r="BC770">
        <v>1613</v>
      </c>
      <c r="BD770" t="s">
        <v>74</v>
      </c>
      <c r="BE770" t="s">
        <v>12718</v>
      </c>
      <c r="BF770" t="str">
        <f>HYPERLINK("http://dx.doi.org/10.1007/s00300-007-0325-8","http://dx.doi.org/10.1007/s00300-007-0325-8")</f>
        <v>http://dx.doi.org/10.1007/s00300-007-0325-8</v>
      </c>
      <c r="BG770" t="s">
        <v>74</v>
      </c>
      <c r="BH770" t="s">
        <v>74</v>
      </c>
      <c r="BI770">
        <v>9</v>
      </c>
      <c r="BJ770" t="s">
        <v>7282</v>
      </c>
      <c r="BK770" t="s">
        <v>97</v>
      </c>
      <c r="BL770" t="s">
        <v>7283</v>
      </c>
      <c r="BM770" t="s">
        <v>12637</v>
      </c>
      <c r="BN770" t="s">
        <v>74</v>
      </c>
      <c r="BO770" t="s">
        <v>74</v>
      </c>
      <c r="BP770" t="s">
        <v>74</v>
      </c>
      <c r="BQ770" t="s">
        <v>74</v>
      </c>
      <c r="BR770" t="s">
        <v>100</v>
      </c>
      <c r="BS770" t="s">
        <v>12719</v>
      </c>
      <c r="BT770" t="str">
        <f>HYPERLINK("https%3A%2F%2Fwww.webofscience.com%2Fwos%2Fwoscc%2Ffull-record%2FWOS:000249920800011","View Full Record in Web of Science")</f>
        <v>View Full Record in Web of Science</v>
      </c>
    </row>
    <row r="771" spans="1:72" x14ac:dyDescent="0.15">
      <c r="A771" t="s">
        <v>72</v>
      </c>
      <c r="B771" t="s">
        <v>12720</v>
      </c>
      <c r="C771" t="s">
        <v>74</v>
      </c>
      <c r="D771" t="s">
        <v>74</v>
      </c>
      <c r="E771" t="s">
        <v>74</v>
      </c>
      <c r="F771" t="s">
        <v>12721</v>
      </c>
      <c r="G771" t="s">
        <v>74</v>
      </c>
      <c r="H771" t="s">
        <v>74</v>
      </c>
      <c r="I771" t="s">
        <v>12722</v>
      </c>
      <c r="J771" t="s">
        <v>7269</v>
      </c>
      <c r="K771" t="s">
        <v>74</v>
      </c>
      <c r="L771" t="s">
        <v>74</v>
      </c>
      <c r="M771" t="s">
        <v>78</v>
      </c>
      <c r="N771" t="s">
        <v>79</v>
      </c>
      <c r="O771" t="s">
        <v>74</v>
      </c>
      <c r="P771" t="s">
        <v>74</v>
      </c>
      <c r="Q771" t="s">
        <v>74</v>
      </c>
      <c r="R771" t="s">
        <v>74</v>
      </c>
      <c r="S771" t="s">
        <v>74</v>
      </c>
      <c r="T771" t="s">
        <v>12723</v>
      </c>
      <c r="U771" t="s">
        <v>12724</v>
      </c>
      <c r="V771" t="s">
        <v>12725</v>
      </c>
      <c r="W771" t="s">
        <v>12726</v>
      </c>
      <c r="X771" t="s">
        <v>2881</v>
      </c>
      <c r="Y771" t="s">
        <v>12727</v>
      </c>
      <c r="Z771" t="s">
        <v>12728</v>
      </c>
      <c r="AA771" t="s">
        <v>74</v>
      </c>
      <c r="AB771" t="s">
        <v>74</v>
      </c>
      <c r="AC771" t="s">
        <v>74</v>
      </c>
      <c r="AD771" t="s">
        <v>74</v>
      </c>
      <c r="AE771" t="s">
        <v>74</v>
      </c>
      <c r="AF771" t="s">
        <v>74</v>
      </c>
      <c r="AG771">
        <v>46</v>
      </c>
      <c r="AH771">
        <v>26</v>
      </c>
      <c r="AI771">
        <v>29</v>
      </c>
      <c r="AJ771">
        <v>0</v>
      </c>
      <c r="AK771">
        <v>17</v>
      </c>
      <c r="AL771" t="s">
        <v>1265</v>
      </c>
      <c r="AM771" t="s">
        <v>662</v>
      </c>
      <c r="AN771" t="s">
        <v>1298</v>
      </c>
      <c r="AO771" t="s">
        <v>7277</v>
      </c>
      <c r="AP771" t="s">
        <v>7278</v>
      </c>
      <c r="AQ771" t="s">
        <v>74</v>
      </c>
      <c r="AR771" t="s">
        <v>7279</v>
      </c>
      <c r="AS771" t="s">
        <v>7280</v>
      </c>
      <c r="AT771" t="s">
        <v>11510</v>
      </c>
      <c r="AU771">
        <v>2007</v>
      </c>
      <c r="AV771">
        <v>30</v>
      </c>
      <c r="AW771">
        <v>12</v>
      </c>
      <c r="AX771" t="s">
        <v>74</v>
      </c>
      <c r="AY771" t="s">
        <v>74</v>
      </c>
      <c r="AZ771" t="s">
        <v>74</v>
      </c>
      <c r="BA771" t="s">
        <v>74</v>
      </c>
      <c r="BB771">
        <v>1615</v>
      </c>
      <c r="BC771">
        <v>1623</v>
      </c>
      <c r="BD771" t="s">
        <v>74</v>
      </c>
      <c r="BE771" t="s">
        <v>12729</v>
      </c>
      <c r="BF771" t="str">
        <f>HYPERLINK("http://dx.doi.org/10.1007/s00300-007-0326-7","http://dx.doi.org/10.1007/s00300-007-0326-7")</f>
        <v>http://dx.doi.org/10.1007/s00300-007-0326-7</v>
      </c>
      <c r="BG771" t="s">
        <v>74</v>
      </c>
      <c r="BH771" t="s">
        <v>74</v>
      </c>
      <c r="BI771">
        <v>9</v>
      </c>
      <c r="BJ771" t="s">
        <v>7282</v>
      </c>
      <c r="BK771" t="s">
        <v>97</v>
      </c>
      <c r="BL771" t="s">
        <v>7283</v>
      </c>
      <c r="BM771" t="s">
        <v>12637</v>
      </c>
      <c r="BN771" t="s">
        <v>74</v>
      </c>
      <c r="BO771" t="s">
        <v>74</v>
      </c>
      <c r="BP771" t="s">
        <v>74</v>
      </c>
      <c r="BQ771" t="s">
        <v>74</v>
      </c>
      <c r="BR771" t="s">
        <v>100</v>
      </c>
      <c r="BS771" t="s">
        <v>12730</v>
      </c>
      <c r="BT771" t="str">
        <f>HYPERLINK("https%3A%2F%2Fwww.webofscience.com%2Fwos%2Fwoscc%2Ffull-record%2FWOS:000249920800012","View Full Record in Web of Science")</f>
        <v>View Full Record in Web of Science</v>
      </c>
    </row>
    <row r="772" spans="1:72" x14ac:dyDescent="0.15">
      <c r="A772" t="s">
        <v>72</v>
      </c>
      <c r="B772" t="s">
        <v>12731</v>
      </c>
      <c r="C772" t="s">
        <v>74</v>
      </c>
      <c r="D772" t="s">
        <v>74</v>
      </c>
      <c r="E772" t="s">
        <v>74</v>
      </c>
      <c r="F772" t="s">
        <v>12732</v>
      </c>
      <c r="G772" t="s">
        <v>74</v>
      </c>
      <c r="H772" t="s">
        <v>74</v>
      </c>
      <c r="I772" t="s">
        <v>12733</v>
      </c>
      <c r="J772" t="s">
        <v>8091</v>
      </c>
      <c r="K772" t="s">
        <v>74</v>
      </c>
      <c r="L772" t="s">
        <v>74</v>
      </c>
      <c r="M772" t="s">
        <v>78</v>
      </c>
      <c r="N772" t="s">
        <v>79</v>
      </c>
      <c r="O772" t="s">
        <v>74</v>
      </c>
      <c r="P772" t="s">
        <v>74</v>
      </c>
      <c r="Q772" t="s">
        <v>74</v>
      </c>
      <c r="R772" t="s">
        <v>74</v>
      </c>
      <c r="S772" t="s">
        <v>74</v>
      </c>
      <c r="T772" t="s">
        <v>12734</v>
      </c>
      <c r="U772" t="s">
        <v>12735</v>
      </c>
      <c r="V772" t="s">
        <v>12736</v>
      </c>
      <c r="W772" t="s">
        <v>12737</v>
      </c>
      <c r="X772" t="s">
        <v>12738</v>
      </c>
      <c r="Y772" t="s">
        <v>12739</v>
      </c>
      <c r="Z772" t="s">
        <v>12740</v>
      </c>
      <c r="AA772" t="s">
        <v>12741</v>
      </c>
      <c r="AB772" t="s">
        <v>12742</v>
      </c>
      <c r="AC772" t="s">
        <v>74</v>
      </c>
      <c r="AD772" t="s">
        <v>74</v>
      </c>
      <c r="AE772" t="s">
        <v>74</v>
      </c>
      <c r="AF772" t="s">
        <v>74</v>
      </c>
      <c r="AG772">
        <v>33</v>
      </c>
      <c r="AH772">
        <v>12</v>
      </c>
      <c r="AI772">
        <v>12</v>
      </c>
      <c r="AJ772">
        <v>2</v>
      </c>
      <c r="AK772">
        <v>16</v>
      </c>
      <c r="AL772" t="s">
        <v>521</v>
      </c>
      <c r="AM772" t="s">
        <v>522</v>
      </c>
      <c r="AN772" t="s">
        <v>523</v>
      </c>
      <c r="AO772" t="s">
        <v>8100</v>
      </c>
      <c r="AP772" t="s">
        <v>74</v>
      </c>
      <c r="AQ772" t="s">
        <v>74</v>
      </c>
      <c r="AR772" t="s">
        <v>8102</v>
      </c>
      <c r="AS772" t="s">
        <v>8103</v>
      </c>
      <c r="AT772" t="s">
        <v>11510</v>
      </c>
      <c r="AU772">
        <v>2007</v>
      </c>
      <c r="AV772">
        <v>39</v>
      </c>
      <c r="AW772">
        <v>11</v>
      </c>
      <c r="AX772" t="s">
        <v>74</v>
      </c>
      <c r="AY772" t="s">
        <v>74</v>
      </c>
      <c r="AZ772" t="s">
        <v>74</v>
      </c>
      <c r="BA772" t="s">
        <v>74</v>
      </c>
      <c r="BB772">
        <v>2949</v>
      </c>
      <c r="BC772">
        <v>2956</v>
      </c>
      <c r="BD772" t="s">
        <v>74</v>
      </c>
      <c r="BE772" t="s">
        <v>12743</v>
      </c>
      <c r="BF772" t="str">
        <f>HYPERLINK("http://dx.doi.org/10.1016/j.soilbio.2007.06.010","http://dx.doi.org/10.1016/j.soilbio.2007.06.010")</f>
        <v>http://dx.doi.org/10.1016/j.soilbio.2007.06.010</v>
      </c>
      <c r="BG772" t="s">
        <v>74</v>
      </c>
      <c r="BH772" t="s">
        <v>74</v>
      </c>
      <c r="BI772">
        <v>8</v>
      </c>
      <c r="BJ772" t="s">
        <v>8105</v>
      </c>
      <c r="BK772" t="s">
        <v>97</v>
      </c>
      <c r="BL772" t="s">
        <v>7760</v>
      </c>
      <c r="BM772" t="s">
        <v>12744</v>
      </c>
      <c r="BN772" t="s">
        <v>74</v>
      </c>
      <c r="BO772" t="s">
        <v>74</v>
      </c>
      <c r="BP772" t="s">
        <v>74</v>
      </c>
      <c r="BQ772" t="s">
        <v>74</v>
      </c>
      <c r="BR772" t="s">
        <v>100</v>
      </c>
      <c r="BS772" t="s">
        <v>12745</v>
      </c>
      <c r="BT772" t="str">
        <f>HYPERLINK("https%3A%2F%2Fwww.webofscience.com%2Fwos%2Fwoscc%2Ffull-record%2FWOS:000249538500026","View Full Record in Web of Science")</f>
        <v>View Full Record in Web of Science</v>
      </c>
    </row>
    <row r="773" spans="1:72" x14ac:dyDescent="0.15">
      <c r="A773" t="s">
        <v>72</v>
      </c>
      <c r="B773" t="s">
        <v>12746</v>
      </c>
      <c r="C773" t="s">
        <v>74</v>
      </c>
      <c r="D773" t="s">
        <v>74</v>
      </c>
      <c r="E773" t="s">
        <v>74</v>
      </c>
      <c r="F773" t="s">
        <v>12747</v>
      </c>
      <c r="G773" t="s">
        <v>74</v>
      </c>
      <c r="H773" t="s">
        <v>74</v>
      </c>
      <c r="I773" t="s">
        <v>12748</v>
      </c>
      <c r="J773" t="s">
        <v>12749</v>
      </c>
      <c r="K773" t="s">
        <v>74</v>
      </c>
      <c r="L773" t="s">
        <v>74</v>
      </c>
      <c r="M773" t="s">
        <v>78</v>
      </c>
      <c r="N773" t="s">
        <v>79</v>
      </c>
      <c r="O773" t="s">
        <v>74</v>
      </c>
      <c r="P773" t="s">
        <v>74</v>
      </c>
      <c r="Q773" t="s">
        <v>74</v>
      </c>
      <c r="R773" t="s">
        <v>74</v>
      </c>
      <c r="S773" t="s">
        <v>74</v>
      </c>
      <c r="T773" t="s">
        <v>12750</v>
      </c>
      <c r="U773" t="s">
        <v>12751</v>
      </c>
      <c r="V773" t="s">
        <v>12752</v>
      </c>
      <c r="W773" t="s">
        <v>12753</v>
      </c>
      <c r="X773" t="s">
        <v>12754</v>
      </c>
      <c r="Y773" t="s">
        <v>12755</v>
      </c>
      <c r="Z773" t="s">
        <v>12756</v>
      </c>
      <c r="AA773" t="s">
        <v>12757</v>
      </c>
      <c r="AB773" t="s">
        <v>12758</v>
      </c>
      <c r="AC773" t="s">
        <v>74</v>
      </c>
      <c r="AD773" t="s">
        <v>74</v>
      </c>
      <c r="AE773" t="s">
        <v>74</v>
      </c>
      <c r="AF773" t="s">
        <v>74</v>
      </c>
      <c r="AG773">
        <v>74</v>
      </c>
      <c r="AH773">
        <v>32</v>
      </c>
      <c r="AI773">
        <v>34</v>
      </c>
      <c r="AJ773">
        <v>0</v>
      </c>
      <c r="AK773">
        <v>4</v>
      </c>
      <c r="AL773" t="s">
        <v>2678</v>
      </c>
      <c r="AM773" t="s">
        <v>522</v>
      </c>
      <c r="AN773" t="s">
        <v>4192</v>
      </c>
      <c r="AO773" t="s">
        <v>12759</v>
      </c>
      <c r="AP773" t="s">
        <v>12760</v>
      </c>
      <c r="AQ773" t="s">
        <v>74</v>
      </c>
      <c r="AR773" t="s">
        <v>12761</v>
      </c>
      <c r="AS773" t="s">
        <v>12762</v>
      </c>
      <c r="AT773" t="s">
        <v>11510</v>
      </c>
      <c r="AU773">
        <v>2007</v>
      </c>
      <c r="AV773">
        <v>27</v>
      </c>
      <c r="AW773">
        <v>11</v>
      </c>
      <c r="AX773" t="s">
        <v>74</v>
      </c>
      <c r="AY773" t="s">
        <v>74</v>
      </c>
      <c r="AZ773" t="s">
        <v>74</v>
      </c>
      <c r="BA773" t="s">
        <v>74</v>
      </c>
      <c r="BB773">
        <v>1607</v>
      </c>
      <c r="BC773">
        <v>1617</v>
      </c>
      <c r="BD773" t="s">
        <v>74</v>
      </c>
      <c r="BE773" t="s">
        <v>12763</v>
      </c>
      <c r="BF773" t="str">
        <f>HYPERLINK("http://dx.doi.org/10.1093/treephys/27.11.1607","http://dx.doi.org/10.1093/treephys/27.11.1607")</f>
        <v>http://dx.doi.org/10.1093/treephys/27.11.1607</v>
      </c>
      <c r="BG773" t="s">
        <v>74</v>
      </c>
      <c r="BH773" t="s">
        <v>74</v>
      </c>
      <c r="BI773">
        <v>11</v>
      </c>
      <c r="BJ773" t="s">
        <v>12764</v>
      </c>
      <c r="BK773" t="s">
        <v>97</v>
      </c>
      <c r="BL773" t="s">
        <v>12764</v>
      </c>
      <c r="BM773" t="s">
        <v>12765</v>
      </c>
      <c r="BN773">
        <v>17669750</v>
      </c>
      <c r="BO773" t="s">
        <v>179</v>
      </c>
      <c r="BP773" t="s">
        <v>74</v>
      </c>
      <c r="BQ773" t="s">
        <v>74</v>
      </c>
      <c r="BR773" t="s">
        <v>100</v>
      </c>
      <c r="BS773" t="s">
        <v>12766</v>
      </c>
      <c r="BT773" t="str">
        <f>HYPERLINK("https%3A%2F%2Fwww.webofscience.com%2Fwos%2Fwoscc%2Ffull-record%2FWOS:000250847000011","View Full Record in Web of Science")</f>
        <v>View Full Record in Web of Science</v>
      </c>
    </row>
    <row r="774" spans="1:72" x14ac:dyDescent="0.15">
      <c r="A774" t="s">
        <v>72</v>
      </c>
      <c r="B774" t="s">
        <v>12767</v>
      </c>
      <c r="C774" t="s">
        <v>74</v>
      </c>
      <c r="D774" t="s">
        <v>74</v>
      </c>
      <c r="E774" t="s">
        <v>74</v>
      </c>
      <c r="F774" t="s">
        <v>12768</v>
      </c>
      <c r="G774" t="s">
        <v>74</v>
      </c>
      <c r="H774" t="s">
        <v>74</v>
      </c>
      <c r="I774" t="s">
        <v>12769</v>
      </c>
      <c r="J774" t="s">
        <v>12770</v>
      </c>
      <c r="K774" t="s">
        <v>74</v>
      </c>
      <c r="L774" t="s">
        <v>74</v>
      </c>
      <c r="M774" t="s">
        <v>78</v>
      </c>
      <c r="N774" t="s">
        <v>79</v>
      </c>
      <c r="O774" t="s">
        <v>74</v>
      </c>
      <c r="P774" t="s">
        <v>74</v>
      </c>
      <c r="Q774" t="s">
        <v>74</v>
      </c>
      <c r="R774" t="s">
        <v>74</v>
      </c>
      <c r="S774" t="s">
        <v>74</v>
      </c>
      <c r="T774" t="s">
        <v>74</v>
      </c>
      <c r="U774" t="s">
        <v>12771</v>
      </c>
      <c r="V774" t="s">
        <v>12772</v>
      </c>
      <c r="W774" t="s">
        <v>12773</v>
      </c>
      <c r="X774" t="s">
        <v>12774</v>
      </c>
      <c r="Y774" t="s">
        <v>12775</v>
      </c>
      <c r="Z774" t="s">
        <v>12776</v>
      </c>
      <c r="AA774" t="s">
        <v>12777</v>
      </c>
      <c r="AB774" t="s">
        <v>12778</v>
      </c>
      <c r="AC774" t="s">
        <v>74</v>
      </c>
      <c r="AD774" t="s">
        <v>74</v>
      </c>
      <c r="AE774" t="s">
        <v>74</v>
      </c>
      <c r="AF774" t="s">
        <v>74</v>
      </c>
      <c r="AG774">
        <v>37</v>
      </c>
      <c r="AH774">
        <v>19</v>
      </c>
      <c r="AI774">
        <v>25</v>
      </c>
      <c r="AJ774">
        <v>0</v>
      </c>
      <c r="AK774">
        <v>9</v>
      </c>
      <c r="AL774" t="s">
        <v>1219</v>
      </c>
      <c r="AM774" t="s">
        <v>89</v>
      </c>
      <c r="AN774" t="s">
        <v>90</v>
      </c>
      <c r="AO774" t="s">
        <v>74</v>
      </c>
      <c r="AP774" t="s">
        <v>12779</v>
      </c>
      <c r="AQ774" t="s">
        <v>74</v>
      </c>
      <c r="AR774" t="s">
        <v>12780</v>
      </c>
      <c r="AS774" t="s">
        <v>12781</v>
      </c>
      <c r="AT774" t="s">
        <v>11510</v>
      </c>
      <c r="AU774">
        <v>2007</v>
      </c>
      <c r="AV774">
        <v>6</v>
      </c>
      <c r="AW774">
        <v>4</v>
      </c>
      <c r="AX774" t="s">
        <v>74</v>
      </c>
      <c r="AY774" t="s">
        <v>74</v>
      </c>
      <c r="AZ774" t="s">
        <v>74</v>
      </c>
      <c r="BA774" t="s">
        <v>74</v>
      </c>
      <c r="BB774">
        <v>841</v>
      </c>
      <c r="BC774">
        <v>848</v>
      </c>
      <c r="BD774" t="s">
        <v>74</v>
      </c>
      <c r="BE774" t="s">
        <v>12782</v>
      </c>
      <c r="BF774" t="str">
        <f>HYPERLINK("http://dx.doi.org/10.2136/vzj2006.0161","http://dx.doi.org/10.2136/vzj2006.0161")</f>
        <v>http://dx.doi.org/10.2136/vzj2006.0161</v>
      </c>
      <c r="BG774" t="s">
        <v>74</v>
      </c>
      <c r="BH774" t="s">
        <v>74</v>
      </c>
      <c r="BI774">
        <v>8</v>
      </c>
      <c r="BJ774" t="s">
        <v>12783</v>
      </c>
      <c r="BK774" t="s">
        <v>97</v>
      </c>
      <c r="BL774" t="s">
        <v>4170</v>
      </c>
      <c r="BM774" t="s">
        <v>12784</v>
      </c>
      <c r="BN774" t="s">
        <v>74</v>
      </c>
      <c r="BO774" t="s">
        <v>74</v>
      </c>
      <c r="BP774" t="s">
        <v>74</v>
      </c>
      <c r="BQ774" t="s">
        <v>74</v>
      </c>
      <c r="BR774" t="s">
        <v>100</v>
      </c>
      <c r="BS774" t="s">
        <v>12785</v>
      </c>
      <c r="BT774" t="str">
        <f>HYPERLINK("https%3A%2F%2Fwww.webofscience.com%2Fwos%2Fwoscc%2Ffull-record%2FWOS:000252596100015","View Full Record in Web of Science")</f>
        <v>View Full Record in Web of Science</v>
      </c>
    </row>
    <row r="775" spans="1:72" x14ac:dyDescent="0.15">
      <c r="A775" t="s">
        <v>72</v>
      </c>
      <c r="B775" t="s">
        <v>5923</v>
      </c>
      <c r="C775" t="s">
        <v>74</v>
      </c>
      <c r="D775" t="s">
        <v>74</v>
      </c>
      <c r="E775" t="s">
        <v>74</v>
      </c>
      <c r="F775" t="s">
        <v>12786</v>
      </c>
      <c r="G775" t="s">
        <v>74</v>
      </c>
      <c r="H775" t="s">
        <v>74</v>
      </c>
      <c r="I775" t="s">
        <v>12787</v>
      </c>
      <c r="J775" t="s">
        <v>12788</v>
      </c>
      <c r="K775" t="s">
        <v>74</v>
      </c>
      <c r="L775" t="s">
        <v>74</v>
      </c>
      <c r="M775" t="s">
        <v>78</v>
      </c>
      <c r="N775" t="s">
        <v>79</v>
      </c>
      <c r="O775" t="s">
        <v>74</v>
      </c>
      <c r="P775" t="s">
        <v>74</v>
      </c>
      <c r="Q775" t="s">
        <v>74</v>
      </c>
      <c r="R775" t="s">
        <v>74</v>
      </c>
      <c r="S775" t="s">
        <v>74</v>
      </c>
      <c r="T775" t="s">
        <v>12789</v>
      </c>
      <c r="U775" t="s">
        <v>12790</v>
      </c>
      <c r="V775" t="s">
        <v>12791</v>
      </c>
      <c r="W775" t="s">
        <v>12792</v>
      </c>
      <c r="X775" t="s">
        <v>5931</v>
      </c>
      <c r="Y775" t="s">
        <v>12793</v>
      </c>
      <c r="Z775" t="s">
        <v>4138</v>
      </c>
      <c r="AA775" t="s">
        <v>5933</v>
      </c>
      <c r="AB775" t="s">
        <v>5934</v>
      </c>
      <c r="AC775" t="s">
        <v>74</v>
      </c>
      <c r="AD775" t="s">
        <v>74</v>
      </c>
      <c r="AE775" t="s">
        <v>74</v>
      </c>
      <c r="AF775" t="s">
        <v>74</v>
      </c>
      <c r="AG775">
        <v>34</v>
      </c>
      <c r="AH775">
        <v>19</v>
      </c>
      <c r="AI775">
        <v>26</v>
      </c>
      <c r="AJ775">
        <v>0</v>
      </c>
      <c r="AK775">
        <v>13</v>
      </c>
      <c r="AL775" t="s">
        <v>1265</v>
      </c>
      <c r="AM775" t="s">
        <v>662</v>
      </c>
      <c r="AN775" t="s">
        <v>1266</v>
      </c>
      <c r="AO775" t="s">
        <v>12794</v>
      </c>
      <c r="AP775" t="s">
        <v>12795</v>
      </c>
      <c r="AQ775" t="s">
        <v>74</v>
      </c>
      <c r="AR775" t="s">
        <v>12796</v>
      </c>
      <c r="AS775" t="s">
        <v>12797</v>
      </c>
      <c r="AT775" t="s">
        <v>11510</v>
      </c>
      <c r="AU775">
        <v>2007</v>
      </c>
      <c r="AV775">
        <v>23</v>
      </c>
      <c r="AW775">
        <v>11</v>
      </c>
      <c r="AX775" t="s">
        <v>74</v>
      </c>
      <c r="AY775" t="s">
        <v>74</v>
      </c>
      <c r="AZ775" t="s">
        <v>74</v>
      </c>
      <c r="BA775" t="s">
        <v>74</v>
      </c>
      <c r="BB775">
        <v>1551</v>
      </c>
      <c r="BC775">
        <v>1557</v>
      </c>
      <c r="BD775" t="s">
        <v>74</v>
      </c>
      <c r="BE775" t="s">
        <v>12798</v>
      </c>
      <c r="BF775" t="str">
        <f>HYPERLINK("http://dx.doi.org/10.1007/s11274-007-9400-0","http://dx.doi.org/10.1007/s11274-007-9400-0")</f>
        <v>http://dx.doi.org/10.1007/s11274-007-9400-0</v>
      </c>
      <c r="BG775" t="s">
        <v>74</v>
      </c>
      <c r="BH775" t="s">
        <v>74</v>
      </c>
      <c r="BI775">
        <v>7</v>
      </c>
      <c r="BJ775" t="s">
        <v>2706</v>
      </c>
      <c r="BK775" t="s">
        <v>97</v>
      </c>
      <c r="BL775" t="s">
        <v>2706</v>
      </c>
      <c r="BM775" t="s">
        <v>12799</v>
      </c>
      <c r="BN775" t="s">
        <v>74</v>
      </c>
      <c r="BO775" t="s">
        <v>74</v>
      </c>
      <c r="BP775" t="s">
        <v>74</v>
      </c>
      <c r="BQ775" t="s">
        <v>74</v>
      </c>
      <c r="BR775" t="s">
        <v>100</v>
      </c>
      <c r="BS775" t="s">
        <v>12800</v>
      </c>
      <c r="BT775" t="str">
        <f>HYPERLINK("https%3A%2F%2Fwww.webofscience.com%2Fwos%2Fwoscc%2Ffull-record%2FWOS:000249921800007","View Full Record in Web of Science")</f>
        <v>View Full Record in Web of Science</v>
      </c>
    </row>
    <row r="776" spans="1:72" x14ac:dyDescent="0.15">
      <c r="A776" t="s">
        <v>72</v>
      </c>
      <c r="B776" t="s">
        <v>12801</v>
      </c>
      <c r="C776" t="s">
        <v>74</v>
      </c>
      <c r="D776" t="s">
        <v>74</v>
      </c>
      <c r="E776" t="s">
        <v>74</v>
      </c>
      <c r="F776" t="s">
        <v>12802</v>
      </c>
      <c r="G776" t="s">
        <v>74</v>
      </c>
      <c r="H776" t="s">
        <v>74</v>
      </c>
      <c r="I776" t="s">
        <v>12803</v>
      </c>
      <c r="J776" t="s">
        <v>9050</v>
      </c>
      <c r="K776" t="s">
        <v>74</v>
      </c>
      <c r="L776" t="s">
        <v>74</v>
      </c>
      <c r="M776" t="s">
        <v>78</v>
      </c>
      <c r="N776" t="s">
        <v>79</v>
      </c>
      <c r="O776" t="s">
        <v>74</v>
      </c>
      <c r="P776" t="s">
        <v>74</v>
      </c>
      <c r="Q776" t="s">
        <v>74</v>
      </c>
      <c r="R776" t="s">
        <v>74</v>
      </c>
      <c r="S776" t="s">
        <v>74</v>
      </c>
      <c r="T776" t="s">
        <v>12804</v>
      </c>
      <c r="U776" t="s">
        <v>12805</v>
      </c>
      <c r="V776" t="s">
        <v>12806</v>
      </c>
      <c r="W776" t="s">
        <v>12807</v>
      </c>
      <c r="X776" t="s">
        <v>2003</v>
      </c>
      <c r="Y776" t="s">
        <v>12808</v>
      </c>
      <c r="Z776" t="s">
        <v>12809</v>
      </c>
      <c r="AA776" t="s">
        <v>74</v>
      </c>
      <c r="AB776" t="s">
        <v>2006</v>
      </c>
      <c r="AC776" t="s">
        <v>74</v>
      </c>
      <c r="AD776" t="s">
        <v>74</v>
      </c>
      <c r="AE776" t="s">
        <v>74</v>
      </c>
      <c r="AF776" t="s">
        <v>74</v>
      </c>
      <c r="AG776">
        <v>28</v>
      </c>
      <c r="AH776">
        <v>23</v>
      </c>
      <c r="AI776">
        <v>26</v>
      </c>
      <c r="AJ776">
        <v>0</v>
      </c>
      <c r="AK776">
        <v>11</v>
      </c>
      <c r="AL776" t="s">
        <v>506</v>
      </c>
      <c r="AM776" t="s">
        <v>266</v>
      </c>
      <c r="AN776" t="s">
        <v>507</v>
      </c>
      <c r="AO776" t="s">
        <v>9060</v>
      </c>
      <c r="AP776" t="s">
        <v>74</v>
      </c>
      <c r="AQ776" t="s">
        <v>74</v>
      </c>
      <c r="AR776" t="s">
        <v>9061</v>
      </c>
      <c r="AS776" t="s">
        <v>9062</v>
      </c>
      <c r="AT776" t="s">
        <v>12810</v>
      </c>
      <c r="AU776">
        <v>2007</v>
      </c>
      <c r="AV776">
        <v>84</v>
      </c>
      <c r="AW776">
        <v>4</v>
      </c>
      <c r="AX776" t="s">
        <v>74</v>
      </c>
      <c r="AY776" t="s">
        <v>74</v>
      </c>
      <c r="AZ776" t="s">
        <v>74</v>
      </c>
      <c r="BA776" t="s">
        <v>74</v>
      </c>
      <c r="BB776">
        <v>450</v>
      </c>
      <c r="BC776">
        <v>456</v>
      </c>
      <c r="BD776" t="s">
        <v>74</v>
      </c>
      <c r="BE776" t="s">
        <v>12811</v>
      </c>
      <c r="BF776" t="str">
        <f>HYPERLINK("http://dx.doi.org/10.1016/j.aquatox.2007.07.005","http://dx.doi.org/10.1016/j.aquatox.2007.07.005")</f>
        <v>http://dx.doi.org/10.1016/j.aquatox.2007.07.005</v>
      </c>
      <c r="BG776" t="s">
        <v>74</v>
      </c>
      <c r="BH776" t="s">
        <v>74</v>
      </c>
      <c r="BI776">
        <v>7</v>
      </c>
      <c r="BJ776" t="s">
        <v>9065</v>
      </c>
      <c r="BK776" t="s">
        <v>97</v>
      </c>
      <c r="BL776" t="s">
        <v>9065</v>
      </c>
      <c r="BM776" t="s">
        <v>12812</v>
      </c>
      <c r="BN776">
        <v>17727974</v>
      </c>
      <c r="BO776" t="s">
        <v>3777</v>
      </c>
      <c r="BP776" t="s">
        <v>74</v>
      </c>
      <c r="BQ776" t="s">
        <v>74</v>
      </c>
      <c r="BR776" t="s">
        <v>100</v>
      </c>
      <c r="BS776" t="s">
        <v>12813</v>
      </c>
      <c r="BT776" t="str">
        <f>HYPERLINK("https%3A%2F%2Fwww.webofscience.com%2Fwos%2Fwoscc%2Ffull-record%2FWOS:000249874800006","View Full Record in Web of Science")</f>
        <v>View Full Record in Web of Science</v>
      </c>
    </row>
    <row r="777" spans="1:72" x14ac:dyDescent="0.15">
      <c r="A777" t="s">
        <v>72</v>
      </c>
      <c r="B777" t="s">
        <v>12814</v>
      </c>
      <c r="C777" t="s">
        <v>74</v>
      </c>
      <c r="D777" t="s">
        <v>74</v>
      </c>
      <c r="E777" t="s">
        <v>74</v>
      </c>
      <c r="F777" t="s">
        <v>12815</v>
      </c>
      <c r="G777" t="s">
        <v>74</v>
      </c>
      <c r="H777" t="s">
        <v>74</v>
      </c>
      <c r="I777" t="s">
        <v>12816</v>
      </c>
      <c r="J777" t="s">
        <v>537</v>
      </c>
      <c r="K777" t="s">
        <v>74</v>
      </c>
      <c r="L777" t="s">
        <v>74</v>
      </c>
      <c r="M777" t="s">
        <v>78</v>
      </c>
      <c r="N777" t="s">
        <v>2353</v>
      </c>
      <c r="O777" t="s">
        <v>74</v>
      </c>
      <c r="P777" t="s">
        <v>74</v>
      </c>
      <c r="Q777" t="s">
        <v>74</v>
      </c>
      <c r="R777" t="s">
        <v>74</v>
      </c>
      <c r="S777" t="s">
        <v>74</v>
      </c>
      <c r="T777" t="s">
        <v>74</v>
      </c>
      <c r="U777" t="s">
        <v>74</v>
      </c>
      <c r="V777" t="s">
        <v>74</v>
      </c>
      <c r="W777" t="s">
        <v>12817</v>
      </c>
      <c r="X777" t="s">
        <v>12818</v>
      </c>
      <c r="Y777" t="s">
        <v>12819</v>
      </c>
      <c r="Z777" t="s">
        <v>12820</v>
      </c>
      <c r="AA777" t="s">
        <v>12821</v>
      </c>
      <c r="AB777" t="s">
        <v>12822</v>
      </c>
      <c r="AC777" t="s">
        <v>74</v>
      </c>
      <c r="AD777" t="s">
        <v>74</v>
      </c>
      <c r="AE777" t="s">
        <v>74</v>
      </c>
      <c r="AF777" t="s">
        <v>74</v>
      </c>
      <c r="AG777">
        <v>1</v>
      </c>
      <c r="AH777">
        <v>1</v>
      </c>
      <c r="AI777">
        <v>1</v>
      </c>
      <c r="AJ777">
        <v>0</v>
      </c>
      <c r="AK777">
        <v>13</v>
      </c>
      <c r="AL777" t="s">
        <v>506</v>
      </c>
      <c r="AM777" t="s">
        <v>266</v>
      </c>
      <c r="AN777" t="s">
        <v>507</v>
      </c>
      <c r="AO777" t="s">
        <v>547</v>
      </c>
      <c r="AP777" t="s">
        <v>74</v>
      </c>
      <c r="AQ777" t="s">
        <v>74</v>
      </c>
      <c r="AR777" t="s">
        <v>549</v>
      </c>
      <c r="AS777" t="s">
        <v>550</v>
      </c>
      <c r="AT777" t="s">
        <v>12810</v>
      </c>
      <c r="AU777">
        <v>2007</v>
      </c>
      <c r="AV777">
        <v>262</v>
      </c>
      <c r="AW777" t="s">
        <v>489</v>
      </c>
      <c r="AX777" t="s">
        <v>74</v>
      </c>
      <c r="AY777" t="s">
        <v>74</v>
      </c>
      <c r="AZ777" t="s">
        <v>74</v>
      </c>
      <c r="BA777" t="s">
        <v>74</v>
      </c>
      <c r="BB777">
        <v>635</v>
      </c>
      <c r="BC777">
        <v>635</v>
      </c>
      <c r="BD777" t="s">
        <v>74</v>
      </c>
      <c r="BE777" t="s">
        <v>12823</v>
      </c>
      <c r="BF777" t="str">
        <f>HYPERLINK("http://dx.doi.org/10.1016/j.epsl.2007.08.016","http://dx.doi.org/10.1016/j.epsl.2007.08.016")</f>
        <v>http://dx.doi.org/10.1016/j.epsl.2007.08.016</v>
      </c>
      <c r="BG777" t="s">
        <v>74</v>
      </c>
      <c r="BH777" t="s">
        <v>74</v>
      </c>
      <c r="BI777">
        <v>1</v>
      </c>
      <c r="BJ777" t="s">
        <v>553</v>
      </c>
      <c r="BK777" t="s">
        <v>97</v>
      </c>
      <c r="BL777" t="s">
        <v>553</v>
      </c>
      <c r="BM777" t="s">
        <v>12824</v>
      </c>
      <c r="BN777" t="s">
        <v>74</v>
      </c>
      <c r="BO777" t="s">
        <v>179</v>
      </c>
      <c r="BP777" t="s">
        <v>74</v>
      </c>
      <c r="BQ777" t="s">
        <v>74</v>
      </c>
      <c r="BR777" t="s">
        <v>100</v>
      </c>
      <c r="BS777" t="s">
        <v>12825</v>
      </c>
      <c r="BT777" t="str">
        <f>HYPERLINK("https%3A%2F%2Fwww.webofscience.com%2Fwos%2Fwoscc%2Ffull-record%2FWOS:000251890700024","View Full Record in Web of Science")</f>
        <v>View Full Record in Web of Science</v>
      </c>
    </row>
    <row r="778" spans="1:72" x14ac:dyDescent="0.15">
      <c r="A778" t="s">
        <v>72</v>
      </c>
      <c r="B778" t="s">
        <v>12826</v>
      </c>
      <c r="C778" t="s">
        <v>74</v>
      </c>
      <c r="D778" t="s">
        <v>74</v>
      </c>
      <c r="E778" t="s">
        <v>74</v>
      </c>
      <c r="F778" t="s">
        <v>12827</v>
      </c>
      <c r="G778" t="s">
        <v>74</v>
      </c>
      <c r="H778" t="s">
        <v>74</v>
      </c>
      <c r="I778" t="s">
        <v>12828</v>
      </c>
      <c r="J778" t="s">
        <v>11079</v>
      </c>
      <c r="K778" t="s">
        <v>74</v>
      </c>
      <c r="L778" t="s">
        <v>74</v>
      </c>
      <c r="M778" t="s">
        <v>78</v>
      </c>
      <c r="N778" t="s">
        <v>79</v>
      </c>
      <c r="O778" t="s">
        <v>74</v>
      </c>
      <c r="P778" t="s">
        <v>74</v>
      </c>
      <c r="Q778" t="s">
        <v>74</v>
      </c>
      <c r="R778" t="s">
        <v>74</v>
      </c>
      <c r="S778" t="s">
        <v>74</v>
      </c>
      <c r="T778" t="s">
        <v>12829</v>
      </c>
      <c r="U778" t="s">
        <v>12830</v>
      </c>
      <c r="V778" t="s">
        <v>12831</v>
      </c>
      <c r="W778" t="s">
        <v>12832</v>
      </c>
      <c r="X778" t="s">
        <v>1036</v>
      </c>
      <c r="Y778" t="s">
        <v>12833</v>
      </c>
      <c r="Z778" t="s">
        <v>12834</v>
      </c>
      <c r="AA778" t="s">
        <v>12835</v>
      </c>
      <c r="AB778" t="s">
        <v>12836</v>
      </c>
      <c r="AC778" t="s">
        <v>74</v>
      </c>
      <c r="AD778" t="s">
        <v>74</v>
      </c>
      <c r="AE778" t="s">
        <v>74</v>
      </c>
      <c r="AF778" t="s">
        <v>74</v>
      </c>
      <c r="AG778">
        <v>55</v>
      </c>
      <c r="AH778">
        <v>35</v>
      </c>
      <c r="AI778">
        <v>39</v>
      </c>
      <c r="AJ778">
        <v>1</v>
      </c>
      <c r="AK778">
        <v>20</v>
      </c>
      <c r="AL778" t="s">
        <v>11089</v>
      </c>
      <c r="AM778" t="s">
        <v>194</v>
      </c>
      <c r="AN778" t="s">
        <v>11090</v>
      </c>
      <c r="AO778" t="s">
        <v>11091</v>
      </c>
      <c r="AP778" t="s">
        <v>74</v>
      </c>
      <c r="AQ778" t="s">
        <v>74</v>
      </c>
      <c r="AR778" t="s">
        <v>11092</v>
      </c>
      <c r="AS778" t="s">
        <v>11093</v>
      </c>
      <c r="AT778" t="s">
        <v>12810</v>
      </c>
      <c r="AU778">
        <v>2007</v>
      </c>
      <c r="AV778">
        <v>104</v>
      </c>
      <c r="AW778">
        <v>44</v>
      </c>
      <c r="AX778" t="s">
        <v>74</v>
      </c>
      <c r="AY778" t="s">
        <v>74</v>
      </c>
      <c r="AZ778" t="s">
        <v>74</v>
      </c>
      <c r="BA778" t="s">
        <v>74</v>
      </c>
      <c r="BB778">
        <v>17278</v>
      </c>
      <c r="BC778">
        <v>17282</v>
      </c>
      <c r="BD778" t="s">
        <v>74</v>
      </c>
      <c r="BE778" t="s">
        <v>12837</v>
      </c>
      <c r="BF778" t="str">
        <f>HYPERLINK("http://dx.doi.org/10.1073/pnas.0708494104","http://dx.doi.org/10.1073/pnas.0708494104")</f>
        <v>http://dx.doi.org/10.1073/pnas.0708494104</v>
      </c>
      <c r="BG778" t="s">
        <v>74</v>
      </c>
      <c r="BH778" t="s">
        <v>74</v>
      </c>
      <c r="BI778">
        <v>5</v>
      </c>
      <c r="BJ778" t="s">
        <v>684</v>
      </c>
      <c r="BK778" t="s">
        <v>97</v>
      </c>
      <c r="BL778" t="s">
        <v>685</v>
      </c>
      <c r="BM778" t="s">
        <v>12838</v>
      </c>
      <c r="BN778">
        <v>17954910</v>
      </c>
      <c r="BO778" t="s">
        <v>3777</v>
      </c>
      <c r="BP778" t="s">
        <v>74</v>
      </c>
      <c r="BQ778" t="s">
        <v>74</v>
      </c>
      <c r="BR778" t="s">
        <v>100</v>
      </c>
      <c r="BS778" t="s">
        <v>12839</v>
      </c>
      <c r="BT778" t="str">
        <f>HYPERLINK("https%3A%2F%2Fwww.webofscience.com%2Fwos%2Fwoscc%2Ffull-record%2FWOS:000250638400010","View Full Record in Web of Science")</f>
        <v>View Full Record in Web of Science</v>
      </c>
    </row>
    <row r="779" spans="1:72" x14ac:dyDescent="0.15">
      <c r="A779" t="s">
        <v>72</v>
      </c>
      <c r="B779" t="s">
        <v>12840</v>
      </c>
      <c r="C779" t="s">
        <v>74</v>
      </c>
      <c r="D779" t="s">
        <v>74</v>
      </c>
      <c r="E779" t="s">
        <v>74</v>
      </c>
      <c r="F779" t="s">
        <v>12841</v>
      </c>
      <c r="G779" t="s">
        <v>74</v>
      </c>
      <c r="H779" t="s">
        <v>74</v>
      </c>
      <c r="I779" t="s">
        <v>12842</v>
      </c>
      <c r="J779" t="s">
        <v>233</v>
      </c>
      <c r="K779" t="s">
        <v>74</v>
      </c>
      <c r="L779" t="s">
        <v>74</v>
      </c>
      <c r="M779" t="s">
        <v>78</v>
      </c>
      <c r="N779" t="s">
        <v>79</v>
      </c>
      <c r="O779" t="s">
        <v>74</v>
      </c>
      <c r="P779" t="s">
        <v>74</v>
      </c>
      <c r="Q779" t="s">
        <v>74</v>
      </c>
      <c r="R779" t="s">
        <v>74</v>
      </c>
      <c r="S779" t="s">
        <v>74</v>
      </c>
      <c r="T779" t="s">
        <v>74</v>
      </c>
      <c r="U779" t="s">
        <v>12843</v>
      </c>
      <c r="V779" t="s">
        <v>12844</v>
      </c>
      <c r="W779" t="s">
        <v>4458</v>
      </c>
      <c r="X779" t="s">
        <v>440</v>
      </c>
      <c r="Y779" t="s">
        <v>12845</v>
      </c>
      <c r="Z779" t="s">
        <v>12846</v>
      </c>
      <c r="AA779" t="s">
        <v>12847</v>
      </c>
      <c r="AB779" t="s">
        <v>12848</v>
      </c>
      <c r="AC779" t="s">
        <v>394</v>
      </c>
      <c r="AD779" t="s">
        <v>242</v>
      </c>
      <c r="AE779" t="s">
        <v>74</v>
      </c>
      <c r="AF779" t="s">
        <v>74</v>
      </c>
      <c r="AG779">
        <v>23</v>
      </c>
      <c r="AH779">
        <v>40</v>
      </c>
      <c r="AI779">
        <v>41</v>
      </c>
      <c r="AJ779">
        <v>0</v>
      </c>
      <c r="AK779">
        <v>0</v>
      </c>
      <c r="AL779" t="s">
        <v>193</v>
      </c>
      <c r="AM779" t="s">
        <v>194</v>
      </c>
      <c r="AN779" t="s">
        <v>195</v>
      </c>
      <c r="AO779" t="s">
        <v>243</v>
      </c>
      <c r="AP779" t="s">
        <v>326</v>
      </c>
      <c r="AQ779" t="s">
        <v>74</v>
      </c>
      <c r="AR779" t="s">
        <v>244</v>
      </c>
      <c r="AS779" t="s">
        <v>245</v>
      </c>
      <c r="AT779" t="s">
        <v>12849</v>
      </c>
      <c r="AU779">
        <v>2007</v>
      </c>
      <c r="AV779">
        <v>34</v>
      </c>
      <c r="AW779">
        <v>20</v>
      </c>
      <c r="AX779" t="s">
        <v>74</v>
      </c>
      <c r="AY779" t="s">
        <v>74</v>
      </c>
      <c r="AZ779" t="s">
        <v>74</v>
      </c>
      <c r="BA779" t="s">
        <v>74</v>
      </c>
      <c r="BB779" t="s">
        <v>74</v>
      </c>
      <c r="BC779" t="s">
        <v>74</v>
      </c>
      <c r="BD779" t="s">
        <v>12850</v>
      </c>
      <c r="BE779" t="s">
        <v>12851</v>
      </c>
      <c r="BF779" t="str">
        <f>HYPERLINK("http://dx.doi.org/10.1029/2007GL031598","http://dx.doi.org/10.1029/2007GL031598")</f>
        <v>http://dx.doi.org/10.1029/2007GL031598</v>
      </c>
      <c r="BG779" t="s">
        <v>74</v>
      </c>
      <c r="BH779" t="s">
        <v>74</v>
      </c>
      <c r="BI779">
        <v>5</v>
      </c>
      <c r="BJ779" t="s">
        <v>96</v>
      </c>
      <c r="BK779" t="s">
        <v>97</v>
      </c>
      <c r="BL779" t="s">
        <v>98</v>
      </c>
      <c r="BM779" t="s">
        <v>12852</v>
      </c>
      <c r="BN779" t="s">
        <v>74</v>
      </c>
      <c r="BO779" t="s">
        <v>592</v>
      </c>
      <c r="BP779" t="s">
        <v>74</v>
      </c>
      <c r="BQ779" t="s">
        <v>74</v>
      </c>
      <c r="BR779" t="s">
        <v>100</v>
      </c>
      <c r="BS779" t="s">
        <v>12853</v>
      </c>
      <c r="BT779" t="str">
        <f>HYPERLINK("https%3A%2F%2Fwww.webofscience.com%2Fwos%2Fwoscc%2Ffull-record%2FWOS:000250521100003","View Full Record in Web of Science")</f>
        <v>View Full Record in Web of Science</v>
      </c>
    </row>
    <row r="780" spans="1:72" x14ac:dyDescent="0.15">
      <c r="A780" t="s">
        <v>72</v>
      </c>
      <c r="B780" t="s">
        <v>12854</v>
      </c>
      <c r="C780" t="s">
        <v>74</v>
      </c>
      <c r="D780" t="s">
        <v>74</v>
      </c>
      <c r="E780" t="s">
        <v>74</v>
      </c>
      <c r="F780" t="s">
        <v>12855</v>
      </c>
      <c r="G780" t="s">
        <v>74</v>
      </c>
      <c r="H780" t="s">
        <v>74</v>
      </c>
      <c r="I780" t="s">
        <v>12856</v>
      </c>
      <c r="J780" t="s">
        <v>8883</v>
      </c>
      <c r="K780" t="s">
        <v>74</v>
      </c>
      <c r="L780" t="s">
        <v>74</v>
      </c>
      <c r="M780" t="s">
        <v>78</v>
      </c>
      <c r="N780" t="s">
        <v>79</v>
      </c>
      <c r="O780" t="s">
        <v>74</v>
      </c>
      <c r="P780" t="s">
        <v>74</v>
      </c>
      <c r="Q780" t="s">
        <v>74</v>
      </c>
      <c r="R780" t="s">
        <v>74</v>
      </c>
      <c r="S780" t="s">
        <v>74</v>
      </c>
      <c r="T780" t="s">
        <v>74</v>
      </c>
      <c r="U780" t="s">
        <v>12857</v>
      </c>
      <c r="V780" t="s">
        <v>12858</v>
      </c>
      <c r="W780" t="s">
        <v>12859</v>
      </c>
      <c r="X780" t="s">
        <v>12860</v>
      </c>
      <c r="Y780" t="s">
        <v>12861</v>
      </c>
      <c r="Z780" t="s">
        <v>12862</v>
      </c>
      <c r="AA780" t="s">
        <v>12863</v>
      </c>
      <c r="AB780" t="s">
        <v>12864</v>
      </c>
      <c r="AC780" t="s">
        <v>74</v>
      </c>
      <c r="AD780" t="s">
        <v>74</v>
      </c>
      <c r="AE780" t="s">
        <v>74</v>
      </c>
      <c r="AF780" t="s">
        <v>74</v>
      </c>
      <c r="AG780">
        <v>64</v>
      </c>
      <c r="AH780">
        <v>57</v>
      </c>
      <c r="AI780">
        <v>62</v>
      </c>
      <c r="AJ780">
        <v>1</v>
      </c>
      <c r="AK780">
        <v>19</v>
      </c>
      <c r="AL780" t="s">
        <v>193</v>
      </c>
      <c r="AM780" t="s">
        <v>194</v>
      </c>
      <c r="AN780" t="s">
        <v>195</v>
      </c>
      <c r="AO780" t="s">
        <v>8891</v>
      </c>
      <c r="AP780" t="s">
        <v>11047</v>
      </c>
      <c r="AQ780" t="s">
        <v>74</v>
      </c>
      <c r="AR780" t="s">
        <v>8892</v>
      </c>
      <c r="AS780" t="s">
        <v>8893</v>
      </c>
      <c r="AT780" t="s">
        <v>12849</v>
      </c>
      <c r="AU780">
        <v>2007</v>
      </c>
      <c r="AV780">
        <v>21</v>
      </c>
      <c r="AW780">
        <v>4</v>
      </c>
      <c r="AX780" t="s">
        <v>74</v>
      </c>
      <c r="AY780" t="s">
        <v>74</v>
      </c>
      <c r="AZ780" t="s">
        <v>74</v>
      </c>
      <c r="BA780" t="s">
        <v>74</v>
      </c>
      <c r="BB780" t="s">
        <v>74</v>
      </c>
      <c r="BC780" t="s">
        <v>74</v>
      </c>
      <c r="BD780" t="s">
        <v>12865</v>
      </c>
      <c r="BE780" t="s">
        <v>12866</v>
      </c>
      <c r="BF780" t="str">
        <f>HYPERLINK("http://dx.doi.org/10.1029/2006GB002852","http://dx.doi.org/10.1029/2006GB002852")</f>
        <v>http://dx.doi.org/10.1029/2006GB002852</v>
      </c>
      <c r="BG780" t="s">
        <v>74</v>
      </c>
      <c r="BH780" t="s">
        <v>74</v>
      </c>
      <c r="BI780">
        <v>12</v>
      </c>
      <c r="BJ780" t="s">
        <v>3105</v>
      </c>
      <c r="BK780" t="s">
        <v>97</v>
      </c>
      <c r="BL780" t="s">
        <v>3106</v>
      </c>
      <c r="BM780" t="s">
        <v>12867</v>
      </c>
      <c r="BN780" t="s">
        <v>74</v>
      </c>
      <c r="BO780" t="s">
        <v>3777</v>
      </c>
      <c r="BP780" t="s">
        <v>74</v>
      </c>
      <c r="BQ780" t="s">
        <v>74</v>
      </c>
      <c r="BR780" t="s">
        <v>100</v>
      </c>
      <c r="BS780" t="s">
        <v>12868</v>
      </c>
      <c r="BT780" t="str">
        <f>HYPERLINK("https%3A%2F%2Fwww.webofscience.com%2Fwos%2Fwoscc%2Ffull-record%2FWOS:000250521300001","View Full Record in Web of Science")</f>
        <v>View Full Record in Web of Science</v>
      </c>
    </row>
    <row r="781" spans="1:72" x14ac:dyDescent="0.15">
      <c r="A781" t="s">
        <v>72</v>
      </c>
      <c r="B781" t="s">
        <v>12869</v>
      </c>
      <c r="C781" t="s">
        <v>74</v>
      </c>
      <c r="D781" t="s">
        <v>74</v>
      </c>
      <c r="E781" t="s">
        <v>74</v>
      </c>
      <c r="F781" t="s">
        <v>12870</v>
      </c>
      <c r="G781" t="s">
        <v>74</v>
      </c>
      <c r="H781" t="s">
        <v>74</v>
      </c>
      <c r="I781" t="s">
        <v>12871</v>
      </c>
      <c r="J781" t="s">
        <v>233</v>
      </c>
      <c r="K781" t="s">
        <v>74</v>
      </c>
      <c r="L781" t="s">
        <v>74</v>
      </c>
      <c r="M781" t="s">
        <v>78</v>
      </c>
      <c r="N781" t="s">
        <v>79</v>
      </c>
      <c r="O781" t="s">
        <v>74</v>
      </c>
      <c r="P781" t="s">
        <v>74</v>
      </c>
      <c r="Q781" t="s">
        <v>74</v>
      </c>
      <c r="R781" t="s">
        <v>74</v>
      </c>
      <c r="S781" t="s">
        <v>74</v>
      </c>
      <c r="T781" t="s">
        <v>74</v>
      </c>
      <c r="U781" t="s">
        <v>12872</v>
      </c>
      <c r="V781" t="s">
        <v>12873</v>
      </c>
      <c r="W781" t="s">
        <v>12874</v>
      </c>
      <c r="X781" t="s">
        <v>12875</v>
      </c>
      <c r="Y781" t="s">
        <v>12876</v>
      </c>
      <c r="Z781" t="s">
        <v>12877</v>
      </c>
      <c r="AA781" t="s">
        <v>12878</v>
      </c>
      <c r="AB781" t="s">
        <v>12879</v>
      </c>
      <c r="AC781" t="s">
        <v>74</v>
      </c>
      <c r="AD781" t="s">
        <v>74</v>
      </c>
      <c r="AE781" t="s">
        <v>74</v>
      </c>
      <c r="AF781" t="s">
        <v>74</v>
      </c>
      <c r="AG781">
        <v>14</v>
      </c>
      <c r="AH781">
        <v>21</v>
      </c>
      <c r="AI781">
        <v>21</v>
      </c>
      <c r="AJ781">
        <v>0</v>
      </c>
      <c r="AK781">
        <v>6</v>
      </c>
      <c r="AL781" t="s">
        <v>193</v>
      </c>
      <c r="AM781" t="s">
        <v>194</v>
      </c>
      <c r="AN781" t="s">
        <v>195</v>
      </c>
      <c r="AO781" t="s">
        <v>243</v>
      </c>
      <c r="AP781" t="s">
        <v>326</v>
      </c>
      <c r="AQ781" t="s">
        <v>74</v>
      </c>
      <c r="AR781" t="s">
        <v>244</v>
      </c>
      <c r="AS781" t="s">
        <v>245</v>
      </c>
      <c r="AT781" t="s">
        <v>12880</v>
      </c>
      <c r="AU781">
        <v>2007</v>
      </c>
      <c r="AV781">
        <v>34</v>
      </c>
      <c r="AW781">
        <v>20</v>
      </c>
      <c r="AX781" t="s">
        <v>74</v>
      </c>
      <c r="AY781" t="s">
        <v>74</v>
      </c>
      <c r="AZ781" t="s">
        <v>74</v>
      </c>
      <c r="BA781" t="s">
        <v>74</v>
      </c>
      <c r="BB781" t="s">
        <v>74</v>
      </c>
      <c r="BC781" t="s">
        <v>74</v>
      </c>
      <c r="BD781" t="s">
        <v>12881</v>
      </c>
      <c r="BE781" t="s">
        <v>12882</v>
      </c>
      <c r="BF781" t="str">
        <f>HYPERLINK("http://dx.doi.org/10.1029/2007GL030898","http://dx.doi.org/10.1029/2007GL030898")</f>
        <v>http://dx.doi.org/10.1029/2007GL030898</v>
      </c>
      <c r="BG781" t="s">
        <v>74</v>
      </c>
      <c r="BH781" t="s">
        <v>74</v>
      </c>
      <c r="BI781">
        <v>5</v>
      </c>
      <c r="BJ781" t="s">
        <v>96</v>
      </c>
      <c r="BK781" t="s">
        <v>97</v>
      </c>
      <c r="BL781" t="s">
        <v>98</v>
      </c>
      <c r="BM781" t="s">
        <v>12883</v>
      </c>
      <c r="BN781" t="s">
        <v>74</v>
      </c>
      <c r="BO781" t="s">
        <v>179</v>
      </c>
      <c r="BP781" t="s">
        <v>74</v>
      </c>
      <c r="BQ781" t="s">
        <v>74</v>
      </c>
      <c r="BR781" t="s">
        <v>100</v>
      </c>
      <c r="BS781" t="s">
        <v>12884</v>
      </c>
      <c r="BT781" t="str">
        <f>HYPERLINK("https%3A%2F%2Fwww.webofscience.com%2Fwos%2Fwoscc%2Ffull-record%2FWOS:000250521000001","View Full Record in Web of Science")</f>
        <v>View Full Record in Web of Science</v>
      </c>
    </row>
    <row r="782" spans="1:72" x14ac:dyDescent="0.15">
      <c r="A782" t="s">
        <v>72</v>
      </c>
      <c r="B782" t="s">
        <v>12885</v>
      </c>
      <c r="C782" t="s">
        <v>74</v>
      </c>
      <c r="D782" t="s">
        <v>74</v>
      </c>
      <c r="E782" t="s">
        <v>74</v>
      </c>
      <c r="F782" t="s">
        <v>12886</v>
      </c>
      <c r="G782" t="s">
        <v>74</v>
      </c>
      <c r="H782" t="s">
        <v>74</v>
      </c>
      <c r="I782" t="s">
        <v>12887</v>
      </c>
      <c r="J782" t="s">
        <v>233</v>
      </c>
      <c r="K782" t="s">
        <v>74</v>
      </c>
      <c r="L782" t="s">
        <v>74</v>
      </c>
      <c r="M782" t="s">
        <v>78</v>
      </c>
      <c r="N782" t="s">
        <v>79</v>
      </c>
      <c r="O782" t="s">
        <v>74</v>
      </c>
      <c r="P782" t="s">
        <v>74</v>
      </c>
      <c r="Q782" t="s">
        <v>74</v>
      </c>
      <c r="R782" t="s">
        <v>74</v>
      </c>
      <c r="S782" t="s">
        <v>74</v>
      </c>
      <c r="T782" t="s">
        <v>74</v>
      </c>
      <c r="U782" t="s">
        <v>12888</v>
      </c>
      <c r="V782" t="s">
        <v>12889</v>
      </c>
      <c r="W782" t="s">
        <v>12890</v>
      </c>
      <c r="X782" t="s">
        <v>12891</v>
      </c>
      <c r="Y782" t="s">
        <v>12892</v>
      </c>
      <c r="Z782" t="s">
        <v>12893</v>
      </c>
      <c r="AA782" t="s">
        <v>12847</v>
      </c>
      <c r="AB782" t="s">
        <v>12848</v>
      </c>
      <c r="AC782" t="s">
        <v>394</v>
      </c>
      <c r="AD782" t="s">
        <v>242</v>
      </c>
      <c r="AE782" t="s">
        <v>74</v>
      </c>
      <c r="AF782" t="s">
        <v>74</v>
      </c>
      <c r="AG782">
        <v>21</v>
      </c>
      <c r="AH782">
        <v>67</v>
      </c>
      <c r="AI782">
        <v>77</v>
      </c>
      <c r="AJ782">
        <v>0</v>
      </c>
      <c r="AK782">
        <v>0</v>
      </c>
      <c r="AL782" t="s">
        <v>193</v>
      </c>
      <c r="AM782" t="s">
        <v>194</v>
      </c>
      <c r="AN782" t="s">
        <v>195</v>
      </c>
      <c r="AO782" t="s">
        <v>243</v>
      </c>
      <c r="AP782" t="s">
        <v>74</v>
      </c>
      <c r="AQ782" t="s">
        <v>74</v>
      </c>
      <c r="AR782" t="s">
        <v>244</v>
      </c>
      <c r="AS782" t="s">
        <v>245</v>
      </c>
      <c r="AT782" t="s">
        <v>12894</v>
      </c>
      <c r="AU782">
        <v>2007</v>
      </c>
      <c r="AV782">
        <v>34</v>
      </c>
      <c r="AW782">
        <v>20</v>
      </c>
      <c r="AX782" t="s">
        <v>74</v>
      </c>
      <c r="AY782" t="s">
        <v>74</v>
      </c>
      <c r="AZ782" t="s">
        <v>74</v>
      </c>
      <c r="BA782" t="s">
        <v>74</v>
      </c>
      <c r="BB782" t="s">
        <v>74</v>
      </c>
      <c r="BC782" t="s">
        <v>74</v>
      </c>
      <c r="BD782" t="s">
        <v>12895</v>
      </c>
      <c r="BE782" t="s">
        <v>12896</v>
      </c>
      <c r="BF782" t="str">
        <f>HYPERLINK("http://dx.doi.org/10.1029/2007GL031007","http://dx.doi.org/10.1029/2007GL031007")</f>
        <v>http://dx.doi.org/10.1029/2007GL031007</v>
      </c>
      <c r="BG782" t="s">
        <v>74</v>
      </c>
      <c r="BH782" t="s">
        <v>74</v>
      </c>
      <c r="BI782">
        <v>5</v>
      </c>
      <c r="BJ782" t="s">
        <v>96</v>
      </c>
      <c r="BK782" t="s">
        <v>97</v>
      </c>
      <c r="BL782" t="s">
        <v>98</v>
      </c>
      <c r="BM782" t="s">
        <v>12897</v>
      </c>
      <c r="BN782" t="s">
        <v>74</v>
      </c>
      <c r="BO782" t="s">
        <v>9182</v>
      </c>
      <c r="BP782" t="s">
        <v>74</v>
      </c>
      <c r="BQ782" t="s">
        <v>74</v>
      </c>
      <c r="BR782" t="s">
        <v>100</v>
      </c>
      <c r="BS782" t="s">
        <v>12898</v>
      </c>
      <c r="BT782" t="str">
        <f>HYPERLINK("https%3A%2F%2Fwww.webofscience.com%2Fwos%2Fwoscc%2Ffull-record%2FWOS:000250520900004","View Full Record in Web of Science")</f>
        <v>View Full Record in Web of Science</v>
      </c>
    </row>
    <row r="783" spans="1:72" x14ac:dyDescent="0.15">
      <c r="A783" t="s">
        <v>72</v>
      </c>
      <c r="B783" t="s">
        <v>12899</v>
      </c>
      <c r="C783" t="s">
        <v>74</v>
      </c>
      <c r="D783" t="s">
        <v>74</v>
      </c>
      <c r="E783" t="s">
        <v>74</v>
      </c>
      <c r="F783" t="s">
        <v>12900</v>
      </c>
      <c r="G783" t="s">
        <v>74</v>
      </c>
      <c r="H783" t="s">
        <v>74</v>
      </c>
      <c r="I783" t="s">
        <v>12901</v>
      </c>
      <c r="J783" t="s">
        <v>12902</v>
      </c>
      <c r="K783" t="s">
        <v>74</v>
      </c>
      <c r="L783" t="s">
        <v>74</v>
      </c>
      <c r="M783" t="s">
        <v>78</v>
      </c>
      <c r="N783" t="s">
        <v>79</v>
      </c>
      <c r="O783" t="s">
        <v>74</v>
      </c>
      <c r="P783" t="s">
        <v>74</v>
      </c>
      <c r="Q783" t="s">
        <v>74</v>
      </c>
      <c r="R783" t="s">
        <v>74</v>
      </c>
      <c r="S783" t="s">
        <v>74</v>
      </c>
      <c r="T783" t="s">
        <v>74</v>
      </c>
      <c r="U783" t="s">
        <v>12903</v>
      </c>
      <c r="V783" t="s">
        <v>12904</v>
      </c>
      <c r="W783" t="s">
        <v>12905</v>
      </c>
      <c r="X783" t="s">
        <v>12906</v>
      </c>
      <c r="Y783" t="s">
        <v>12907</v>
      </c>
      <c r="Z783" t="s">
        <v>12908</v>
      </c>
      <c r="AA783" t="s">
        <v>12909</v>
      </c>
      <c r="AB783" t="s">
        <v>12910</v>
      </c>
      <c r="AC783" t="s">
        <v>12911</v>
      </c>
      <c r="AD783" t="s">
        <v>444</v>
      </c>
      <c r="AE783" t="s">
        <v>74</v>
      </c>
      <c r="AF783" t="s">
        <v>74</v>
      </c>
      <c r="AG783">
        <v>30</v>
      </c>
      <c r="AH783">
        <v>659</v>
      </c>
      <c r="AI783">
        <v>726</v>
      </c>
      <c r="AJ783">
        <v>8</v>
      </c>
      <c r="AK783">
        <v>225</v>
      </c>
      <c r="AL783" t="s">
        <v>12912</v>
      </c>
      <c r="AM783" t="s">
        <v>5032</v>
      </c>
      <c r="AN783" t="s">
        <v>12913</v>
      </c>
      <c r="AO783" t="s">
        <v>12914</v>
      </c>
      <c r="AP783" t="s">
        <v>12915</v>
      </c>
      <c r="AQ783" t="s">
        <v>74</v>
      </c>
      <c r="AR783" t="s">
        <v>12902</v>
      </c>
      <c r="AS783" t="s">
        <v>12916</v>
      </c>
      <c r="AT783" t="s">
        <v>12894</v>
      </c>
      <c r="AU783">
        <v>2007</v>
      </c>
      <c r="AV783">
        <v>449</v>
      </c>
      <c r="AW783">
        <v>7165</v>
      </c>
      <c r="AX783" t="s">
        <v>74</v>
      </c>
      <c r="AY783" t="s">
        <v>74</v>
      </c>
      <c r="AZ783" t="s">
        <v>74</v>
      </c>
      <c r="BA783" t="s">
        <v>74</v>
      </c>
      <c r="BB783">
        <v>1044</v>
      </c>
      <c r="BC783" t="s">
        <v>12917</v>
      </c>
      <c r="BD783" t="s">
        <v>74</v>
      </c>
      <c r="BE783" t="s">
        <v>12918</v>
      </c>
      <c r="BF783" t="str">
        <f>HYPERLINK("http://dx.doi.org/10.1038/nature06199","http://dx.doi.org/10.1038/nature06199")</f>
        <v>http://dx.doi.org/10.1038/nature06199</v>
      </c>
      <c r="BG783" t="s">
        <v>74</v>
      </c>
      <c r="BH783" t="s">
        <v>74</v>
      </c>
      <c r="BI783">
        <v>6</v>
      </c>
      <c r="BJ783" t="s">
        <v>684</v>
      </c>
      <c r="BK783" t="s">
        <v>97</v>
      </c>
      <c r="BL783" t="s">
        <v>685</v>
      </c>
      <c r="BM783" t="s">
        <v>12919</v>
      </c>
      <c r="BN783">
        <v>17960243</v>
      </c>
      <c r="BO783" t="s">
        <v>250</v>
      </c>
      <c r="BP783" t="s">
        <v>74</v>
      </c>
      <c r="BQ783" t="s">
        <v>74</v>
      </c>
      <c r="BR783" t="s">
        <v>100</v>
      </c>
      <c r="BS783" t="s">
        <v>12920</v>
      </c>
      <c r="BT783" t="str">
        <f>HYPERLINK("https%3A%2F%2Fwww.webofscience.com%2Fwos%2Fwoscc%2Ffull-record%2FWOS:000250395000051","View Full Record in Web of Science")</f>
        <v>View Full Record in Web of Science</v>
      </c>
    </row>
    <row r="784" spans="1:72" x14ac:dyDescent="0.15">
      <c r="A784" t="s">
        <v>72</v>
      </c>
      <c r="B784" t="s">
        <v>12921</v>
      </c>
      <c r="C784" t="s">
        <v>74</v>
      </c>
      <c r="D784" t="s">
        <v>74</v>
      </c>
      <c r="E784" t="s">
        <v>74</v>
      </c>
      <c r="F784" t="s">
        <v>12922</v>
      </c>
      <c r="G784" t="s">
        <v>74</v>
      </c>
      <c r="H784" t="s">
        <v>74</v>
      </c>
      <c r="I784" t="s">
        <v>12923</v>
      </c>
      <c r="J784" t="s">
        <v>12924</v>
      </c>
      <c r="K784" t="s">
        <v>74</v>
      </c>
      <c r="L784" t="s">
        <v>74</v>
      </c>
      <c r="M784" t="s">
        <v>78</v>
      </c>
      <c r="N784" t="s">
        <v>79</v>
      </c>
      <c r="O784" t="s">
        <v>74</v>
      </c>
      <c r="P784" t="s">
        <v>74</v>
      </c>
      <c r="Q784" t="s">
        <v>74</v>
      </c>
      <c r="R784" t="s">
        <v>74</v>
      </c>
      <c r="S784" t="s">
        <v>74</v>
      </c>
      <c r="T784" t="s">
        <v>74</v>
      </c>
      <c r="U784" t="s">
        <v>12925</v>
      </c>
      <c r="V784" t="s">
        <v>12926</v>
      </c>
      <c r="W784" t="s">
        <v>12927</v>
      </c>
      <c r="X784" t="s">
        <v>12928</v>
      </c>
      <c r="Y784" t="s">
        <v>12929</v>
      </c>
      <c r="Z784" t="s">
        <v>74</v>
      </c>
      <c r="AA784" t="s">
        <v>12930</v>
      </c>
      <c r="AB784" t="s">
        <v>12931</v>
      </c>
      <c r="AC784" t="s">
        <v>74</v>
      </c>
      <c r="AD784" t="s">
        <v>74</v>
      </c>
      <c r="AE784" t="s">
        <v>74</v>
      </c>
      <c r="AF784" t="s">
        <v>74</v>
      </c>
      <c r="AG784">
        <v>42</v>
      </c>
      <c r="AH784">
        <v>16</v>
      </c>
      <c r="AI784">
        <v>17</v>
      </c>
      <c r="AJ784">
        <v>0</v>
      </c>
      <c r="AK784">
        <v>2</v>
      </c>
      <c r="AL784" t="s">
        <v>12932</v>
      </c>
      <c r="AM784" t="s">
        <v>12933</v>
      </c>
      <c r="AN784" t="s">
        <v>12934</v>
      </c>
      <c r="AO784" t="s">
        <v>12935</v>
      </c>
      <c r="AP784" t="s">
        <v>12936</v>
      </c>
      <c r="AQ784" t="s">
        <v>74</v>
      </c>
      <c r="AR784" t="s">
        <v>12937</v>
      </c>
      <c r="AS784" t="s">
        <v>12938</v>
      </c>
      <c r="AT784" t="s">
        <v>12939</v>
      </c>
      <c r="AU784">
        <v>2007</v>
      </c>
      <c r="AV784">
        <v>12</v>
      </c>
      <c r="AW784">
        <v>5</v>
      </c>
      <c r="AX784" t="s">
        <v>74</v>
      </c>
      <c r="AY784" t="s">
        <v>74</v>
      </c>
      <c r="AZ784" t="s">
        <v>74</v>
      </c>
      <c r="BA784" t="s">
        <v>74</v>
      </c>
      <c r="BB784">
        <v>535</v>
      </c>
      <c r="BC784">
        <v>550</v>
      </c>
      <c r="BD784" t="s">
        <v>74</v>
      </c>
      <c r="BE784" t="s">
        <v>74</v>
      </c>
      <c r="BF784" t="s">
        <v>74</v>
      </c>
      <c r="BG784" t="s">
        <v>74</v>
      </c>
      <c r="BH784" t="s">
        <v>74</v>
      </c>
      <c r="BI784">
        <v>16</v>
      </c>
      <c r="BJ784" t="s">
        <v>274</v>
      </c>
      <c r="BK784" t="s">
        <v>97</v>
      </c>
      <c r="BL784" t="s">
        <v>275</v>
      </c>
      <c r="BM784" t="s">
        <v>12940</v>
      </c>
      <c r="BN784" t="s">
        <v>74</v>
      </c>
      <c r="BO784" t="s">
        <v>74</v>
      </c>
      <c r="BP784" t="s">
        <v>74</v>
      </c>
      <c r="BQ784" t="s">
        <v>74</v>
      </c>
      <c r="BR784" t="s">
        <v>100</v>
      </c>
      <c r="BS784" t="s">
        <v>12941</v>
      </c>
      <c r="BT784" t="str">
        <f>HYPERLINK("https%3A%2F%2Fwww.webofscience.com%2Fwos%2Fwoscc%2Ffull-record%2FWOS:000250660400001","View Full Record in Web of Science")</f>
        <v>View Full Record in Web of Science</v>
      </c>
    </row>
    <row r="785" spans="1:72" x14ac:dyDescent="0.15">
      <c r="A785" t="s">
        <v>72</v>
      </c>
      <c r="B785" t="s">
        <v>12942</v>
      </c>
      <c r="C785" t="s">
        <v>74</v>
      </c>
      <c r="D785" t="s">
        <v>74</v>
      </c>
      <c r="E785" t="s">
        <v>74</v>
      </c>
      <c r="F785" t="s">
        <v>12943</v>
      </c>
      <c r="G785" t="s">
        <v>74</v>
      </c>
      <c r="H785" t="s">
        <v>74</v>
      </c>
      <c r="I785" t="s">
        <v>12944</v>
      </c>
      <c r="J785" t="s">
        <v>233</v>
      </c>
      <c r="K785" t="s">
        <v>74</v>
      </c>
      <c r="L785" t="s">
        <v>74</v>
      </c>
      <c r="M785" t="s">
        <v>78</v>
      </c>
      <c r="N785" t="s">
        <v>79</v>
      </c>
      <c r="O785" t="s">
        <v>74</v>
      </c>
      <c r="P785" t="s">
        <v>74</v>
      </c>
      <c r="Q785" t="s">
        <v>74</v>
      </c>
      <c r="R785" t="s">
        <v>74</v>
      </c>
      <c r="S785" t="s">
        <v>74</v>
      </c>
      <c r="T785" t="s">
        <v>74</v>
      </c>
      <c r="U785" t="s">
        <v>12945</v>
      </c>
      <c r="V785" t="s">
        <v>12946</v>
      </c>
      <c r="W785" t="s">
        <v>12947</v>
      </c>
      <c r="X785" t="s">
        <v>12948</v>
      </c>
      <c r="Y785" t="s">
        <v>12949</v>
      </c>
      <c r="Z785" t="s">
        <v>12950</v>
      </c>
      <c r="AA785" t="s">
        <v>12951</v>
      </c>
      <c r="AB785" t="s">
        <v>12952</v>
      </c>
      <c r="AC785" t="s">
        <v>74</v>
      </c>
      <c r="AD785" t="s">
        <v>74</v>
      </c>
      <c r="AE785" t="s">
        <v>74</v>
      </c>
      <c r="AF785" t="s">
        <v>74</v>
      </c>
      <c r="AG785">
        <v>32</v>
      </c>
      <c r="AH785">
        <v>73</v>
      </c>
      <c r="AI785">
        <v>82</v>
      </c>
      <c r="AJ785">
        <v>0</v>
      </c>
      <c r="AK785">
        <v>72</v>
      </c>
      <c r="AL785" t="s">
        <v>193</v>
      </c>
      <c r="AM785" t="s">
        <v>194</v>
      </c>
      <c r="AN785" t="s">
        <v>195</v>
      </c>
      <c r="AO785" t="s">
        <v>243</v>
      </c>
      <c r="AP785" t="s">
        <v>326</v>
      </c>
      <c r="AQ785" t="s">
        <v>74</v>
      </c>
      <c r="AR785" t="s">
        <v>244</v>
      </c>
      <c r="AS785" t="s">
        <v>245</v>
      </c>
      <c r="AT785" t="s">
        <v>12939</v>
      </c>
      <c r="AU785">
        <v>2007</v>
      </c>
      <c r="AV785">
        <v>34</v>
      </c>
      <c r="AW785">
        <v>20</v>
      </c>
      <c r="AX785" t="s">
        <v>74</v>
      </c>
      <c r="AY785" t="s">
        <v>74</v>
      </c>
      <c r="AZ785" t="s">
        <v>74</v>
      </c>
      <c r="BA785" t="s">
        <v>74</v>
      </c>
      <c r="BB785" t="s">
        <v>74</v>
      </c>
      <c r="BC785" t="s">
        <v>74</v>
      </c>
      <c r="BD785" t="s">
        <v>12953</v>
      </c>
      <c r="BE785" t="s">
        <v>12954</v>
      </c>
      <c r="BF785" t="str">
        <f>HYPERLINK("http://dx.doi.org/10.1029/2007GL031318","http://dx.doi.org/10.1029/2007GL031318")</f>
        <v>http://dx.doi.org/10.1029/2007GL031318</v>
      </c>
      <c r="BG785" t="s">
        <v>74</v>
      </c>
      <c r="BH785" t="s">
        <v>74</v>
      </c>
      <c r="BI785">
        <v>6</v>
      </c>
      <c r="BJ785" t="s">
        <v>96</v>
      </c>
      <c r="BK785" t="s">
        <v>97</v>
      </c>
      <c r="BL785" t="s">
        <v>98</v>
      </c>
      <c r="BM785" t="s">
        <v>12955</v>
      </c>
      <c r="BN785" t="s">
        <v>74</v>
      </c>
      <c r="BO785" t="s">
        <v>3777</v>
      </c>
      <c r="BP785" t="s">
        <v>74</v>
      </c>
      <c r="BQ785" t="s">
        <v>74</v>
      </c>
      <c r="BR785" t="s">
        <v>100</v>
      </c>
      <c r="BS785" t="s">
        <v>12956</v>
      </c>
      <c r="BT785" t="str">
        <f>HYPERLINK("https%3A%2F%2Fwww.webofscience.com%2Fwos%2Fwoscc%2Ffull-record%2FWOS:000250520800004","View Full Record in Web of Science")</f>
        <v>View Full Record in Web of Science</v>
      </c>
    </row>
    <row r="786" spans="1:72" x14ac:dyDescent="0.15">
      <c r="A786" t="s">
        <v>72</v>
      </c>
      <c r="B786" t="s">
        <v>12957</v>
      </c>
      <c r="C786" t="s">
        <v>74</v>
      </c>
      <c r="D786" t="s">
        <v>74</v>
      </c>
      <c r="E786" t="s">
        <v>74</v>
      </c>
      <c r="F786" t="s">
        <v>12958</v>
      </c>
      <c r="G786" t="s">
        <v>74</v>
      </c>
      <c r="H786" t="s">
        <v>74</v>
      </c>
      <c r="I786" t="s">
        <v>12959</v>
      </c>
      <c r="J786" t="s">
        <v>233</v>
      </c>
      <c r="K786" t="s">
        <v>74</v>
      </c>
      <c r="L786" t="s">
        <v>74</v>
      </c>
      <c r="M786" t="s">
        <v>78</v>
      </c>
      <c r="N786" t="s">
        <v>79</v>
      </c>
      <c r="O786" t="s">
        <v>74</v>
      </c>
      <c r="P786" t="s">
        <v>74</v>
      </c>
      <c r="Q786" t="s">
        <v>74</v>
      </c>
      <c r="R786" t="s">
        <v>74</v>
      </c>
      <c r="S786" t="s">
        <v>74</v>
      </c>
      <c r="T786" t="s">
        <v>74</v>
      </c>
      <c r="U786" t="s">
        <v>12960</v>
      </c>
      <c r="V786" t="s">
        <v>12961</v>
      </c>
      <c r="W786" t="s">
        <v>12962</v>
      </c>
      <c r="X786" t="s">
        <v>12963</v>
      </c>
      <c r="Y786" t="s">
        <v>12964</v>
      </c>
      <c r="Z786" t="s">
        <v>12965</v>
      </c>
      <c r="AA786" t="s">
        <v>12966</v>
      </c>
      <c r="AB786" t="s">
        <v>12967</v>
      </c>
      <c r="AC786" t="s">
        <v>74</v>
      </c>
      <c r="AD786" t="s">
        <v>74</v>
      </c>
      <c r="AE786" t="s">
        <v>74</v>
      </c>
      <c r="AF786" t="s">
        <v>74</v>
      </c>
      <c r="AG786">
        <v>25</v>
      </c>
      <c r="AH786">
        <v>47</v>
      </c>
      <c r="AI786">
        <v>50</v>
      </c>
      <c r="AJ786">
        <v>0</v>
      </c>
      <c r="AK786">
        <v>1</v>
      </c>
      <c r="AL786" t="s">
        <v>193</v>
      </c>
      <c r="AM786" t="s">
        <v>194</v>
      </c>
      <c r="AN786" t="s">
        <v>195</v>
      </c>
      <c r="AO786" t="s">
        <v>243</v>
      </c>
      <c r="AP786" t="s">
        <v>326</v>
      </c>
      <c r="AQ786" t="s">
        <v>74</v>
      </c>
      <c r="AR786" t="s">
        <v>244</v>
      </c>
      <c r="AS786" t="s">
        <v>245</v>
      </c>
      <c r="AT786" t="s">
        <v>12939</v>
      </c>
      <c r="AU786">
        <v>2007</v>
      </c>
      <c r="AV786">
        <v>34</v>
      </c>
      <c r="AW786">
        <v>20</v>
      </c>
      <c r="AX786" t="s">
        <v>74</v>
      </c>
      <c r="AY786" t="s">
        <v>74</v>
      </c>
      <c r="AZ786" t="s">
        <v>74</v>
      </c>
      <c r="BA786" t="s">
        <v>74</v>
      </c>
      <c r="BB786" t="s">
        <v>74</v>
      </c>
      <c r="BC786" t="s">
        <v>74</v>
      </c>
      <c r="BD786" t="s">
        <v>12968</v>
      </c>
      <c r="BE786" t="s">
        <v>12969</v>
      </c>
      <c r="BF786" t="str">
        <f>HYPERLINK("http://dx.doi.org/10.1029/2007GL031378","http://dx.doi.org/10.1029/2007GL031378")</f>
        <v>http://dx.doi.org/10.1029/2007GL031378</v>
      </c>
      <c r="BG786" t="s">
        <v>74</v>
      </c>
      <c r="BH786" t="s">
        <v>74</v>
      </c>
      <c r="BI786">
        <v>6</v>
      </c>
      <c r="BJ786" t="s">
        <v>96</v>
      </c>
      <c r="BK786" t="s">
        <v>97</v>
      </c>
      <c r="BL786" t="s">
        <v>98</v>
      </c>
      <c r="BM786" t="s">
        <v>12955</v>
      </c>
      <c r="BN786" t="s">
        <v>74</v>
      </c>
      <c r="BO786" t="s">
        <v>313</v>
      </c>
      <c r="BP786" t="s">
        <v>74</v>
      </c>
      <c r="BQ786" t="s">
        <v>74</v>
      </c>
      <c r="BR786" t="s">
        <v>100</v>
      </c>
      <c r="BS786" t="s">
        <v>12970</v>
      </c>
      <c r="BT786" t="str">
        <f>HYPERLINK("https%3A%2F%2Fwww.webofscience.com%2Fwos%2Fwoscc%2Ffull-record%2FWOS:000250520800006","View Full Record in Web of Science")</f>
        <v>View Full Record in Web of Science</v>
      </c>
    </row>
    <row r="787" spans="1:72" x14ac:dyDescent="0.15">
      <c r="A787" t="s">
        <v>72</v>
      </c>
      <c r="B787" t="s">
        <v>12971</v>
      </c>
      <c r="C787" t="s">
        <v>74</v>
      </c>
      <c r="D787" t="s">
        <v>74</v>
      </c>
      <c r="E787" t="s">
        <v>74</v>
      </c>
      <c r="F787" t="s">
        <v>12972</v>
      </c>
      <c r="G787" t="s">
        <v>74</v>
      </c>
      <c r="H787" t="s">
        <v>74</v>
      </c>
      <c r="I787" t="s">
        <v>12973</v>
      </c>
      <c r="J787" t="s">
        <v>8883</v>
      </c>
      <c r="K787" t="s">
        <v>74</v>
      </c>
      <c r="L787" t="s">
        <v>74</v>
      </c>
      <c r="M787" t="s">
        <v>78</v>
      </c>
      <c r="N787" t="s">
        <v>79</v>
      </c>
      <c r="O787" t="s">
        <v>74</v>
      </c>
      <c r="P787" t="s">
        <v>74</v>
      </c>
      <c r="Q787" t="s">
        <v>74</v>
      </c>
      <c r="R787" t="s">
        <v>74</v>
      </c>
      <c r="S787" t="s">
        <v>74</v>
      </c>
      <c r="T787" t="s">
        <v>74</v>
      </c>
      <c r="U787" t="s">
        <v>12974</v>
      </c>
      <c r="V787" t="s">
        <v>12975</v>
      </c>
      <c r="W787" t="s">
        <v>12976</v>
      </c>
      <c r="X787" t="s">
        <v>12977</v>
      </c>
      <c r="Y787" t="s">
        <v>12978</v>
      </c>
      <c r="Z787" t="s">
        <v>74</v>
      </c>
      <c r="AA787" t="s">
        <v>12979</v>
      </c>
      <c r="AB787" t="s">
        <v>12980</v>
      </c>
      <c r="AC787" t="s">
        <v>12981</v>
      </c>
      <c r="AD787" t="s">
        <v>444</v>
      </c>
      <c r="AE787" t="s">
        <v>74</v>
      </c>
      <c r="AF787" t="s">
        <v>74</v>
      </c>
      <c r="AG787">
        <v>77</v>
      </c>
      <c r="AH787">
        <v>63</v>
      </c>
      <c r="AI787">
        <v>67</v>
      </c>
      <c r="AJ787">
        <v>5</v>
      </c>
      <c r="AK787">
        <v>47</v>
      </c>
      <c r="AL787" t="s">
        <v>193</v>
      </c>
      <c r="AM787" t="s">
        <v>194</v>
      </c>
      <c r="AN787" t="s">
        <v>195</v>
      </c>
      <c r="AO787" t="s">
        <v>8891</v>
      </c>
      <c r="AP787" t="s">
        <v>11047</v>
      </c>
      <c r="AQ787" t="s">
        <v>74</v>
      </c>
      <c r="AR787" t="s">
        <v>8892</v>
      </c>
      <c r="AS787" t="s">
        <v>8893</v>
      </c>
      <c r="AT787" t="s">
        <v>12939</v>
      </c>
      <c r="AU787">
        <v>2007</v>
      </c>
      <c r="AV787">
        <v>21</v>
      </c>
      <c r="AW787">
        <v>4</v>
      </c>
      <c r="AX787" t="s">
        <v>74</v>
      </c>
      <c r="AY787" t="s">
        <v>74</v>
      </c>
      <c r="AZ787" t="s">
        <v>74</v>
      </c>
      <c r="BA787" t="s">
        <v>74</v>
      </c>
      <c r="BB787" t="s">
        <v>74</v>
      </c>
      <c r="BC787" t="s">
        <v>74</v>
      </c>
      <c r="BD787" t="s">
        <v>12982</v>
      </c>
      <c r="BE787" t="s">
        <v>12983</v>
      </c>
      <c r="BF787" t="str">
        <f>HYPERLINK("http://dx.doi.org/10.1029/2006GB002718","http://dx.doi.org/10.1029/2006GB002718")</f>
        <v>http://dx.doi.org/10.1029/2006GB002718</v>
      </c>
      <c r="BG787" t="s">
        <v>74</v>
      </c>
      <c r="BH787" t="s">
        <v>74</v>
      </c>
      <c r="BI787">
        <v>15</v>
      </c>
      <c r="BJ787" t="s">
        <v>3105</v>
      </c>
      <c r="BK787" t="s">
        <v>97</v>
      </c>
      <c r="BL787" t="s">
        <v>3106</v>
      </c>
      <c r="BM787" t="s">
        <v>12984</v>
      </c>
      <c r="BN787" t="s">
        <v>74</v>
      </c>
      <c r="BO787" t="s">
        <v>592</v>
      </c>
      <c r="BP787" t="s">
        <v>74</v>
      </c>
      <c r="BQ787" t="s">
        <v>74</v>
      </c>
      <c r="BR787" t="s">
        <v>100</v>
      </c>
      <c r="BS787" t="s">
        <v>12985</v>
      </c>
      <c r="BT787" t="str">
        <f>HYPERLINK("https%3A%2F%2Fwww.webofscience.com%2Fwos%2Fwoscc%2Ffull-record%2FWOS:000250521200001","View Full Record in Web of Science")</f>
        <v>View Full Record in Web of Science</v>
      </c>
    </row>
    <row r="788" spans="1:72" x14ac:dyDescent="0.15">
      <c r="A788" t="s">
        <v>72</v>
      </c>
      <c r="B788" t="s">
        <v>12986</v>
      </c>
      <c r="C788" t="s">
        <v>74</v>
      </c>
      <c r="D788" t="s">
        <v>74</v>
      </c>
      <c r="E788" t="s">
        <v>74</v>
      </c>
      <c r="F788" t="s">
        <v>12987</v>
      </c>
      <c r="G788" t="s">
        <v>74</v>
      </c>
      <c r="H788" t="s">
        <v>74</v>
      </c>
      <c r="I788" t="s">
        <v>12988</v>
      </c>
      <c r="J788" t="s">
        <v>12989</v>
      </c>
      <c r="K788" t="s">
        <v>74</v>
      </c>
      <c r="L788" t="s">
        <v>74</v>
      </c>
      <c r="M788" t="s">
        <v>78</v>
      </c>
      <c r="N788" t="s">
        <v>79</v>
      </c>
      <c r="O788" t="s">
        <v>74</v>
      </c>
      <c r="P788" t="s">
        <v>74</v>
      </c>
      <c r="Q788" t="s">
        <v>74</v>
      </c>
      <c r="R788" t="s">
        <v>74</v>
      </c>
      <c r="S788" t="s">
        <v>74</v>
      </c>
      <c r="T788" t="s">
        <v>12990</v>
      </c>
      <c r="U788" t="s">
        <v>12991</v>
      </c>
      <c r="V788" t="s">
        <v>12992</v>
      </c>
      <c r="W788" t="s">
        <v>12993</v>
      </c>
      <c r="X788" t="s">
        <v>12994</v>
      </c>
      <c r="Y788" t="s">
        <v>12995</v>
      </c>
      <c r="Z788" t="s">
        <v>12996</v>
      </c>
      <c r="AA788" t="s">
        <v>74</v>
      </c>
      <c r="AB788" t="s">
        <v>74</v>
      </c>
      <c r="AC788" t="s">
        <v>74</v>
      </c>
      <c r="AD788" t="s">
        <v>74</v>
      </c>
      <c r="AE788" t="s">
        <v>74</v>
      </c>
      <c r="AF788" t="s">
        <v>74</v>
      </c>
      <c r="AG788">
        <v>23</v>
      </c>
      <c r="AH788">
        <v>24</v>
      </c>
      <c r="AI788">
        <v>25</v>
      </c>
      <c r="AJ788">
        <v>1</v>
      </c>
      <c r="AK788">
        <v>32</v>
      </c>
      <c r="AL788" t="s">
        <v>8681</v>
      </c>
      <c r="AM788" t="s">
        <v>118</v>
      </c>
      <c r="AN788" t="s">
        <v>8682</v>
      </c>
      <c r="AO788" t="s">
        <v>12997</v>
      </c>
      <c r="AP788" t="s">
        <v>74</v>
      </c>
      <c r="AQ788" t="s">
        <v>74</v>
      </c>
      <c r="AR788" t="s">
        <v>12998</v>
      </c>
      <c r="AS788" t="s">
        <v>12999</v>
      </c>
      <c r="AT788" t="s">
        <v>13000</v>
      </c>
      <c r="AU788">
        <v>2007</v>
      </c>
      <c r="AV788">
        <v>3</v>
      </c>
      <c r="AW788">
        <v>5</v>
      </c>
      <c r="AX788" t="s">
        <v>74</v>
      </c>
      <c r="AY788" t="s">
        <v>74</v>
      </c>
      <c r="AZ788" t="s">
        <v>74</v>
      </c>
      <c r="BA788" t="s">
        <v>74</v>
      </c>
      <c r="BB788">
        <v>546</v>
      </c>
      <c r="BC788">
        <v>549</v>
      </c>
      <c r="BD788" t="s">
        <v>74</v>
      </c>
      <c r="BE788" t="s">
        <v>13001</v>
      </c>
      <c r="BF788" t="str">
        <f>HYPERLINK("http://dx.doi.org/10.1098/rsbl.2007.0265","http://dx.doi.org/10.1098/rsbl.2007.0265")</f>
        <v>http://dx.doi.org/10.1098/rsbl.2007.0265</v>
      </c>
      <c r="BG788" t="s">
        <v>74</v>
      </c>
      <c r="BH788" t="s">
        <v>74</v>
      </c>
      <c r="BI788">
        <v>4</v>
      </c>
      <c r="BJ788" t="s">
        <v>8933</v>
      </c>
      <c r="BK788" t="s">
        <v>97</v>
      </c>
      <c r="BL788" t="s">
        <v>8934</v>
      </c>
      <c r="BM788" t="s">
        <v>13002</v>
      </c>
      <c r="BN788">
        <v>17698445</v>
      </c>
      <c r="BO788" t="s">
        <v>3777</v>
      </c>
      <c r="BP788" t="s">
        <v>74</v>
      </c>
      <c r="BQ788" t="s">
        <v>74</v>
      </c>
      <c r="BR788" t="s">
        <v>100</v>
      </c>
      <c r="BS788" t="s">
        <v>13003</v>
      </c>
      <c r="BT788" t="str">
        <f>HYPERLINK("https%3A%2F%2Fwww.webofscience.com%2Fwos%2Fwoscc%2Ffull-record%2FWOS:000249421800027","View Full Record in Web of Science")</f>
        <v>View Full Record in Web of Science</v>
      </c>
    </row>
    <row r="789" spans="1:72" x14ac:dyDescent="0.15">
      <c r="A789" t="s">
        <v>72</v>
      </c>
      <c r="B789" t="s">
        <v>13004</v>
      </c>
      <c r="C789" t="s">
        <v>74</v>
      </c>
      <c r="D789" t="s">
        <v>74</v>
      </c>
      <c r="E789" t="s">
        <v>74</v>
      </c>
      <c r="F789" t="s">
        <v>13005</v>
      </c>
      <c r="G789" t="s">
        <v>74</v>
      </c>
      <c r="H789" t="s">
        <v>74</v>
      </c>
      <c r="I789" t="s">
        <v>13006</v>
      </c>
      <c r="J789" t="s">
        <v>13007</v>
      </c>
      <c r="K789" t="s">
        <v>74</v>
      </c>
      <c r="L789" t="s">
        <v>74</v>
      </c>
      <c r="M789" t="s">
        <v>78</v>
      </c>
      <c r="N789" t="s">
        <v>79</v>
      </c>
      <c r="O789" t="s">
        <v>74</v>
      </c>
      <c r="P789" t="s">
        <v>74</v>
      </c>
      <c r="Q789" t="s">
        <v>74</v>
      </c>
      <c r="R789" t="s">
        <v>74</v>
      </c>
      <c r="S789" t="s">
        <v>74</v>
      </c>
      <c r="T789" t="s">
        <v>13008</v>
      </c>
      <c r="U789" t="s">
        <v>13009</v>
      </c>
      <c r="V789" t="s">
        <v>13010</v>
      </c>
      <c r="W789" t="s">
        <v>13011</v>
      </c>
      <c r="X789" t="s">
        <v>13012</v>
      </c>
      <c r="Y789" t="s">
        <v>13013</v>
      </c>
      <c r="Z789" t="s">
        <v>13014</v>
      </c>
      <c r="AA789" t="s">
        <v>13015</v>
      </c>
      <c r="AB789" t="s">
        <v>13016</v>
      </c>
      <c r="AC789" t="s">
        <v>74</v>
      </c>
      <c r="AD789" t="s">
        <v>74</v>
      </c>
      <c r="AE789" t="s">
        <v>74</v>
      </c>
      <c r="AF789" t="s">
        <v>74</v>
      </c>
      <c r="AG789">
        <v>14</v>
      </c>
      <c r="AH789">
        <v>34</v>
      </c>
      <c r="AI789">
        <v>36</v>
      </c>
      <c r="AJ789">
        <v>14</v>
      </c>
      <c r="AK789">
        <v>132</v>
      </c>
      <c r="AL789" t="s">
        <v>9281</v>
      </c>
      <c r="AM789" t="s">
        <v>118</v>
      </c>
      <c r="AN789" t="s">
        <v>1509</v>
      </c>
      <c r="AO789" t="s">
        <v>13017</v>
      </c>
      <c r="AP789" t="s">
        <v>13018</v>
      </c>
      <c r="AQ789" t="s">
        <v>74</v>
      </c>
      <c r="AR789" t="s">
        <v>13019</v>
      </c>
      <c r="AS789" t="s">
        <v>13020</v>
      </c>
      <c r="AT789" t="s">
        <v>13021</v>
      </c>
      <c r="AU789">
        <v>2007</v>
      </c>
      <c r="AV789">
        <v>248</v>
      </c>
      <c r="AW789">
        <v>4</v>
      </c>
      <c r="AX789" t="s">
        <v>74</v>
      </c>
      <c r="AY789" t="s">
        <v>74</v>
      </c>
      <c r="AZ789" t="s">
        <v>74</v>
      </c>
      <c r="BA789" t="s">
        <v>74</v>
      </c>
      <c r="BB789">
        <v>727</v>
      </c>
      <c r="BC789">
        <v>735</v>
      </c>
      <c r="BD789" t="s">
        <v>74</v>
      </c>
      <c r="BE789" t="s">
        <v>13022</v>
      </c>
      <c r="BF789" t="str">
        <f>HYPERLINK("http://dx.doi.org/10.1016/j.jtbi.2007.06.020","http://dx.doi.org/10.1016/j.jtbi.2007.06.020")</f>
        <v>http://dx.doi.org/10.1016/j.jtbi.2007.06.020</v>
      </c>
      <c r="BG789" t="s">
        <v>74</v>
      </c>
      <c r="BH789" t="s">
        <v>74</v>
      </c>
      <c r="BI789">
        <v>9</v>
      </c>
      <c r="BJ789" t="s">
        <v>13023</v>
      </c>
      <c r="BK789" t="s">
        <v>97</v>
      </c>
      <c r="BL789" t="s">
        <v>13024</v>
      </c>
      <c r="BM789" t="s">
        <v>13025</v>
      </c>
      <c r="BN789">
        <v>17669436</v>
      </c>
      <c r="BO789" t="s">
        <v>74</v>
      </c>
      <c r="BP789" t="s">
        <v>74</v>
      </c>
      <c r="BQ789" t="s">
        <v>74</v>
      </c>
      <c r="BR789" t="s">
        <v>100</v>
      </c>
      <c r="BS789" t="s">
        <v>13026</v>
      </c>
      <c r="BT789" t="str">
        <f>HYPERLINK("https%3A%2F%2Fwww.webofscience.com%2Fwos%2Fwoscc%2Ffull-record%2FWOS:000250302600013","View Full Record in Web of Science")</f>
        <v>View Full Record in Web of Science</v>
      </c>
    </row>
    <row r="790" spans="1:72" x14ac:dyDescent="0.15">
      <c r="A790" t="s">
        <v>72</v>
      </c>
      <c r="B790" t="s">
        <v>13027</v>
      </c>
      <c r="C790" t="s">
        <v>74</v>
      </c>
      <c r="D790" t="s">
        <v>74</v>
      </c>
      <c r="E790" t="s">
        <v>74</v>
      </c>
      <c r="F790" t="s">
        <v>13028</v>
      </c>
      <c r="G790" t="s">
        <v>74</v>
      </c>
      <c r="H790" t="s">
        <v>74</v>
      </c>
      <c r="I790" t="s">
        <v>13029</v>
      </c>
      <c r="J790" t="s">
        <v>773</v>
      </c>
      <c r="K790" t="s">
        <v>74</v>
      </c>
      <c r="L790" t="s">
        <v>74</v>
      </c>
      <c r="M790" t="s">
        <v>78</v>
      </c>
      <c r="N790" t="s">
        <v>79</v>
      </c>
      <c r="O790" t="s">
        <v>74</v>
      </c>
      <c r="P790" t="s">
        <v>74</v>
      </c>
      <c r="Q790" t="s">
        <v>74</v>
      </c>
      <c r="R790" t="s">
        <v>74</v>
      </c>
      <c r="S790" t="s">
        <v>74</v>
      </c>
      <c r="T790" t="s">
        <v>13030</v>
      </c>
      <c r="U790" t="s">
        <v>13031</v>
      </c>
      <c r="V790" t="s">
        <v>13032</v>
      </c>
      <c r="W790" t="s">
        <v>4458</v>
      </c>
      <c r="X790" t="s">
        <v>440</v>
      </c>
      <c r="Y790" t="s">
        <v>6535</v>
      </c>
      <c r="Z790" t="s">
        <v>6536</v>
      </c>
      <c r="AA790" t="s">
        <v>13033</v>
      </c>
      <c r="AB790" t="s">
        <v>13034</v>
      </c>
      <c r="AC790" t="s">
        <v>9718</v>
      </c>
      <c r="AD790" t="s">
        <v>242</v>
      </c>
      <c r="AE790" t="s">
        <v>74</v>
      </c>
      <c r="AF790" t="s">
        <v>74</v>
      </c>
      <c r="AG790">
        <v>42</v>
      </c>
      <c r="AH790">
        <v>29</v>
      </c>
      <c r="AI790">
        <v>30</v>
      </c>
      <c r="AJ790">
        <v>2</v>
      </c>
      <c r="AK790">
        <v>16</v>
      </c>
      <c r="AL790" t="s">
        <v>265</v>
      </c>
      <c r="AM790" t="s">
        <v>266</v>
      </c>
      <c r="AN790" t="s">
        <v>267</v>
      </c>
      <c r="AO790" t="s">
        <v>783</v>
      </c>
      <c r="AP790" t="s">
        <v>784</v>
      </c>
      <c r="AQ790" t="s">
        <v>74</v>
      </c>
      <c r="AR790" t="s">
        <v>785</v>
      </c>
      <c r="AS790" t="s">
        <v>786</v>
      </c>
      <c r="AT790" t="s">
        <v>13035</v>
      </c>
      <c r="AU790">
        <v>2007</v>
      </c>
      <c r="AV790">
        <v>349</v>
      </c>
      <c r="AW790">
        <v>2</v>
      </c>
      <c r="AX790" t="s">
        <v>74</v>
      </c>
      <c r="AY790" t="s">
        <v>74</v>
      </c>
      <c r="AZ790" t="s">
        <v>74</v>
      </c>
      <c r="BA790" t="s">
        <v>74</v>
      </c>
      <c r="BB790">
        <v>405</v>
      </c>
      <c r="BC790">
        <v>417</v>
      </c>
      <c r="BD790" t="s">
        <v>74</v>
      </c>
      <c r="BE790" t="s">
        <v>13036</v>
      </c>
      <c r="BF790" t="str">
        <f>HYPERLINK("http://dx.doi.org/10.1016/j.jembe.2007.06.002","http://dx.doi.org/10.1016/j.jembe.2007.06.002")</f>
        <v>http://dx.doi.org/10.1016/j.jembe.2007.06.002</v>
      </c>
      <c r="BG790" t="s">
        <v>74</v>
      </c>
      <c r="BH790" t="s">
        <v>74</v>
      </c>
      <c r="BI790">
        <v>13</v>
      </c>
      <c r="BJ790" t="s">
        <v>789</v>
      </c>
      <c r="BK790" t="s">
        <v>97</v>
      </c>
      <c r="BL790" t="s">
        <v>790</v>
      </c>
      <c r="BM790" t="s">
        <v>13037</v>
      </c>
      <c r="BN790" t="s">
        <v>74</v>
      </c>
      <c r="BO790" t="s">
        <v>74</v>
      </c>
      <c r="BP790" t="s">
        <v>74</v>
      </c>
      <c r="BQ790" t="s">
        <v>74</v>
      </c>
      <c r="BR790" t="s">
        <v>100</v>
      </c>
      <c r="BS790" t="s">
        <v>13038</v>
      </c>
      <c r="BT790" t="str">
        <f>HYPERLINK("https%3A%2F%2Fwww.webofscience.com%2Fwos%2Fwoscc%2Ffull-record%2FWOS:000249346400019","View Full Record in Web of Science")</f>
        <v>View Full Record in Web of Science</v>
      </c>
    </row>
    <row r="791" spans="1:72" x14ac:dyDescent="0.15">
      <c r="A791" t="s">
        <v>72</v>
      </c>
      <c r="B791" t="s">
        <v>13039</v>
      </c>
      <c r="C791" t="s">
        <v>74</v>
      </c>
      <c r="D791" t="s">
        <v>74</v>
      </c>
      <c r="E791" t="s">
        <v>74</v>
      </c>
      <c r="F791" t="s">
        <v>13040</v>
      </c>
      <c r="G791" t="s">
        <v>74</v>
      </c>
      <c r="H791" t="s">
        <v>74</v>
      </c>
      <c r="I791" t="s">
        <v>13041</v>
      </c>
      <c r="J791" t="s">
        <v>615</v>
      </c>
      <c r="K791" t="s">
        <v>74</v>
      </c>
      <c r="L791" t="s">
        <v>74</v>
      </c>
      <c r="M791" t="s">
        <v>78</v>
      </c>
      <c r="N791" t="s">
        <v>79</v>
      </c>
      <c r="O791" t="s">
        <v>74</v>
      </c>
      <c r="P791" t="s">
        <v>74</v>
      </c>
      <c r="Q791" t="s">
        <v>74</v>
      </c>
      <c r="R791" t="s">
        <v>74</v>
      </c>
      <c r="S791" t="s">
        <v>74</v>
      </c>
      <c r="T791" t="s">
        <v>74</v>
      </c>
      <c r="U791" t="s">
        <v>13042</v>
      </c>
      <c r="V791" t="s">
        <v>13043</v>
      </c>
      <c r="W791" t="s">
        <v>13044</v>
      </c>
      <c r="X791" t="s">
        <v>13045</v>
      </c>
      <c r="Y791" t="s">
        <v>13046</v>
      </c>
      <c r="Z791" t="s">
        <v>74</v>
      </c>
      <c r="AA791" t="s">
        <v>13047</v>
      </c>
      <c r="AB791" t="s">
        <v>13048</v>
      </c>
      <c r="AC791" t="s">
        <v>13049</v>
      </c>
      <c r="AD791" t="s">
        <v>242</v>
      </c>
      <c r="AE791" t="s">
        <v>74</v>
      </c>
      <c r="AF791" t="s">
        <v>74</v>
      </c>
      <c r="AG791">
        <v>35</v>
      </c>
      <c r="AH791">
        <v>106</v>
      </c>
      <c r="AI791">
        <v>115</v>
      </c>
      <c r="AJ791">
        <v>0</v>
      </c>
      <c r="AK791">
        <v>15</v>
      </c>
      <c r="AL791" t="s">
        <v>193</v>
      </c>
      <c r="AM791" t="s">
        <v>194</v>
      </c>
      <c r="AN791" t="s">
        <v>195</v>
      </c>
      <c r="AO791" t="s">
        <v>623</v>
      </c>
      <c r="AP791" t="s">
        <v>624</v>
      </c>
      <c r="AQ791" t="s">
        <v>74</v>
      </c>
      <c r="AR791" t="s">
        <v>625</v>
      </c>
      <c r="AS791" t="s">
        <v>626</v>
      </c>
      <c r="AT791" t="s">
        <v>13035</v>
      </c>
      <c r="AU791">
        <v>2007</v>
      </c>
      <c r="AV791">
        <v>112</v>
      </c>
      <c r="AW791" t="s">
        <v>13050</v>
      </c>
      <c r="AX791" t="s">
        <v>74</v>
      </c>
      <c r="AY791" t="s">
        <v>74</v>
      </c>
      <c r="AZ791" t="s">
        <v>74</v>
      </c>
      <c r="BA791" t="s">
        <v>74</v>
      </c>
      <c r="BB791" t="s">
        <v>74</v>
      </c>
      <c r="BC791" t="s">
        <v>74</v>
      </c>
      <c r="BD791" t="s">
        <v>13051</v>
      </c>
      <c r="BE791" t="s">
        <v>13052</v>
      </c>
      <c r="BF791" t="str">
        <f>HYPERLINK("http://dx.doi.org/10.1029/2006JC003733","http://dx.doi.org/10.1029/2006JC003733")</f>
        <v>http://dx.doi.org/10.1029/2006JC003733</v>
      </c>
      <c r="BG791" t="s">
        <v>74</v>
      </c>
      <c r="BH791" t="s">
        <v>74</v>
      </c>
      <c r="BI791">
        <v>14</v>
      </c>
      <c r="BJ791" t="s">
        <v>630</v>
      </c>
      <c r="BK791" t="s">
        <v>97</v>
      </c>
      <c r="BL791" t="s">
        <v>630</v>
      </c>
      <c r="BM791" t="s">
        <v>13053</v>
      </c>
      <c r="BN791" t="s">
        <v>74</v>
      </c>
      <c r="BO791" t="s">
        <v>250</v>
      </c>
      <c r="BP791" t="s">
        <v>74</v>
      </c>
      <c r="BQ791" t="s">
        <v>74</v>
      </c>
      <c r="BR791" t="s">
        <v>100</v>
      </c>
      <c r="BS791" t="s">
        <v>13054</v>
      </c>
      <c r="BT791" t="str">
        <f>HYPERLINK("https%3A%2F%2Fwww.webofscience.com%2Fwos%2Fwoscc%2Ffull-record%2FWOS:000250450100001","View Full Record in Web of Science")</f>
        <v>View Full Record in Web of Science</v>
      </c>
    </row>
    <row r="792" spans="1:72" x14ac:dyDescent="0.15">
      <c r="A792" t="s">
        <v>72</v>
      </c>
      <c r="B792" t="s">
        <v>13055</v>
      </c>
      <c r="C792" t="s">
        <v>74</v>
      </c>
      <c r="D792" t="s">
        <v>74</v>
      </c>
      <c r="E792" t="s">
        <v>74</v>
      </c>
      <c r="F792" t="s">
        <v>13056</v>
      </c>
      <c r="G792" t="s">
        <v>74</v>
      </c>
      <c r="H792" t="s">
        <v>74</v>
      </c>
      <c r="I792" t="s">
        <v>13057</v>
      </c>
      <c r="J792" t="s">
        <v>8996</v>
      </c>
      <c r="K792" t="s">
        <v>74</v>
      </c>
      <c r="L792" t="s">
        <v>74</v>
      </c>
      <c r="M792" t="s">
        <v>78</v>
      </c>
      <c r="N792" t="s">
        <v>79</v>
      </c>
      <c r="O792" t="s">
        <v>74</v>
      </c>
      <c r="P792" t="s">
        <v>74</v>
      </c>
      <c r="Q792" t="s">
        <v>74</v>
      </c>
      <c r="R792" t="s">
        <v>74</v>
      </c>
      <c r="S792" t="s">
        <v>74</v>
      </c>
      <c r="T792" t="s">
        <v>13058</v>
      </c>
      <c r="U792" t="s">
        <v>13059</v>
      </c>
      <c r="V792" t="s">
        <v>13060</v>
      </c>
      <c r="W792" t="s">
        <v>13061</v>
      </c>
      <c r="X792" t="s">
        <v>13062</v>
      </c>
      <c r="Y792" t="s">
        <v>13063</v>
      </c>
      <c r="Z792" t="s">
        <v>13064</v>
      </c>
      <c r="AA792" t="s">
        <v>13065</v>
      </c>
      <c r="AB792" t="s">
        <v>13066</v>
      </c>
      <c r="AC792" t="s">
        <v>74</v>
      </c>
      <c r="AD792" t="s">
        <v>74</v>
      </c>
      <c r="AE792" t="s">
        <v>74</v>
      </c>
      <c r="AF792" t="s">
        <v>74</v>
      </c>
      <c r="AG792">
        <v>84</v>
      </c>
      <c r="AH792">
        <v>13</v>
      </c>
      <c r="AI792">
        <v>13</v>
      </c>
      <c r="AJ792">
        <v>0</v>
      </c>
      <c r="AK792">
        <v>32</v>
      </c>
      <c r="AL792" t="s">
        <v>193</v>
      </c>
      <c r="AM792" t="s">
        <v>194</v>
      </c>
      <c r="AN792" t="s">
        <v>195</v>
      </c>
      <c r="AO792" t="s">
        <v>9006</v>
      </c>
      <c r="AP792" t="s">
        <v>74</v>
      </c>
      <c r="AQ792" t="s">
        <v>74</v>
      </c>
      <c r="AR792" t="s">
        <v>9007</v>
      </c>
      <c r="AS792" t="s">
        <v>9008</v>
      </c>
      <c r="AT792" t="s">
        <v>13067</v>
      </c>
      <c r="AU792">
        <v>2007</v>
      </c>
      <c r="AV792">
        <v>8</v>
      </c>
      <c r="AW792" t="s">
        <v>74</v>
      </c>
      <c r="AX792" t="s">
        <v>74</v>
      </c>
      <c r="AY792" t="s">
        <v>74</v>
      </c>
      <c r="AZ792" t="s">
        <v>74</v>
      </c>
      <c r="BA792" t="s">
        <v>74</v>
      </c>
      <c r="BB792" t="s">
        <v>74</v>
      </c>
      <c r="BC792" t="s">
        <v>74</v>
      </c>
      <c r="BD792" t="s">
        <v>13068</v>
      </c>
      <c r="BE792" t="s">
        <v>13069</v>
      </c>
      <c r="BF792" t="str">
        <f>HYPERLINK("http://dx.doi.org/10.1029/2007GC001666","http://dx.doi.org/10.1029/2007GC001666")</f>
        <v>http://dx.doi.org/10.1029/2007GC001666</v>
      </c>
      <c r="BG792" t="s">
        <v>74</v>
      </c>
      <c r="BH792" t="s">
        <v>74</v>
      </c>
      <c r="BI792">
        <v>18</v>
      </c>
      <c r="BJ792" t="s">
        <v>553</v>
      </c>
      <c r="BK792" t="s">
        <v>97</v>
      </c>
      <c r="BL792" t="s">
        <v>553</v>
      </c>
      <c r="BM792" t="s">
        <v>13070</v>
      </c>
      <c r="BN792" t="s">
        <v>74</v>
      </c>
      <c r="BO792" t="s">
        <v>313</v>
      </c>
      <c r="BP792" t="s">
        <v>74</v>
      </c>
      <c r="BQ792" t="s">
        <v>74</v>
      </c>
      <c r="BR792" t="s">
        <v>100</v>
      </c>
      <c r="BS792" t="s">
        <v>13071</v>
      </c>
      <c r="BT792" t="str">
        <f>HYPERLINK("https%3A%2F%2Fwww.webofscience.com%2Fwos%2Fwoscc%2Ffull-record%2FWOS:000250446000001","View Full Record in Web of Science")</f>
        <v>View Full Record in Web of Science</v>
      </c>
    </row>
    <row r="793" spans="1:72" x14ac:dyDescent="0.15">
      <c r="A793" t="s">
        <v>72</v>
      </c>
      <c r="B793" t="s">
        <v>13072</v>
      </c>
      <c r="C793" t="s">
        <v>74</v>
      </c>
      <c r="D793" t="s">
        <v>74</v>
      </c>
      <c r="E793" t="s">
        <v>74</v>
      </c>
      <c r="F793" t="s">
        <v>13073</v>
      </c>
      <c r="G793" t="s">
        <v>74</v>
      </c>
      <c r="H793" t="s">
        <v>74</v>
      </c>
      <c r="I793" t="s">
        <v>13074</v>
      </c>
      <c r="J793" t="s">
        <v>8996</v>
      </c>
      <c r="K793" t="s">
        <v>74</v>
      </c>
      <c r="L793" t="s">
        <v>74</v>
      </c>
      <c r="M793" t="s">
        <v>78</v>
      </c>
      <c r="N793" t="s">
        <v>79</v>
      </c>
      <c r="O793" t="s">
        <v>74</v>
      </c>
      <c r="P793" t="s">
        <v>74</v>
      </c>
      <c r="Q793" t="s">
        <v>74</v>
      </c>
      <c r="R793" t="s">
        <v>74</v>
      </c>
      <c r="S793" t="s">
        <v>74</v>
      </c>
      <c r="T793" t="s">
        <v>13075</v>
      </c>
      <c r="U793" t="s">
        <v>13076</v>
      </c>
      <c r="V793" t="s">
        <v>13077</v>
      </c>
      <c r="W793" t="s">
        <v>13078</v>
      </c>
      <c r="X793" t="s">
        <v>13079</v>
      </c>
      <c r="Y793" t="s">
        <v>13080</v>
      </c>
      <c r="Z793" t="s">
        <v>13081</v>
      </c>
      <c r="AA793" t="s">
        <v>13082</v>
      </c>
      <c r="AB793" t="s">
        <v>13083</v>
      </c>
      <c r="AC793" t="s">
        <v>3298</v>
      </c>
      <c r="AD793" t="s">
        <v>444</v>
      </c>
      <c r="AE793" t="s">
        <v>74</v>
      </c>
      <c r="AF793" t="s">
        <v>74</v>
      </c>
      <c r="AG793">
        <v>58</v>
      </c>
      <c r="AH793">
        <v>113</v>
      </c>
      <c r="AI793">
        <v>133</v>
      </c>
      <c r="AJ793">
        <v>2</v>
      </c>
      <c r="AK793">
        <v>14</v>
      </c>
      <c r="AL793" t="s">
        <v>193</v>
      </c>
      <c r="AM793" t="s">
        <v>194</v>
      </c>
      <c r="AN793" t="s">
        <v>195</v>
      </c>
      <c r="AO793" t="s">
        <v>74</v>
      </c>
      <c r="AP793" t="s">
        <v>9006</v>
      </c>
      <c r="AQ793" t="s">
        <v>74</v>
      </c>
      <c r="AR793" t="s">
        <v>9007</v>
      </c>
      <c r="AS793" t="s">
        <v>9008</v>
      </c>
      <c r="AT793" t="s">
        <v>13067</v>
      </c>
      <c r="AU793">
        <v>2007</v>
      </c>
      <c r="AV793">
        <v>8</v>
      </c>
      <c r="AW793" t="s">
        <v>74</v>
      </c>
      <c r="AX793" t="s">
        <v>74</v>
      </c>
      <c r="AY793" t="s">
        <v>74</v>
      </c>
      <c r="AZ793" t="s">
        <v>74</v>
      </c>
      <c r="BA793" t="s">
        <v>74</v>
      </c>
      <c r="BB793" t="s">
        <v>74</v>
      </c>
      <c r="BC793" t="s">
        <v>74</v>
      </c>
      <c r="BD793" t="s">
        <v>13084</v>
      </c>
      <c r="BE793" t="s">
        <v>13085</v>
      </c>
      <c r="BF793" t="str">
        <f>HYPERLINK("http://dx.doi.org/10.1029/2007GC001694","http://dx.doi.org/10.1029/2007GC001694")</f>
        <v>http://dx.doi.org/10.1029/2007GC001694</v>
      </c>
      <c r="BG793" t="s">
        <v>74</v>
      </c>
      <c r="BH793" t="s">
        <v>74</v>
      </c>
      <c r="BI793">
        <v>10</v>
      </c>
      <c r="BJ793" t="s">
        <v>553</v>
      </c>
      <c r="BK793" t="s">
        <v>97</v>
      </c>
      <c r="BL793" t="s">
        <v>553</v>
      </c>
      <c r="BM793" t="s">
        <v>13070</v>
      </c>
      <c r="BN793" t="s">
        <v>74</v>
      </c>
      <c r="BO793" t="s">
        <v>313</v>
      </c>
      <c r="BP793" t="s">
        <v>74</v>
      </c>
      <c r="BQ793" t="s">
        <v>74</v>
      </c>
      <c r="BR793" t="s">
        <v>100</v>
      </c>
      <c r="BS793" t="s">
        <v>13086</v>
      </c>
      <c r="BT793" t="str">
        <f>HYPERLINK("https%3A%2F%2Fwww.webofscience.com%2Fwos%2Fwoscc%2Ffull-record%2FWOS:000250446000002","View Full Record in Web of Science")</f>
        <v>View Full Record in Web of Science</v>
      </c>
    </row>
    <row r="794" spans="1:72" x14ac:dyDescent="0.15">
      <c r="A794" t="s">
        <v>72</v>
      </c>
      <c r="B794" t="s">
        <v>13087</v>
      </c>
      <c r="C794" t="s">
        <v>74</v>
      </c>
      <c r="D794" t="s">
        <v>74</v>
      </c>
      <c r="E794" t="s">
        <v>74</v>
      </c>
      <c r="F794" t="s">
        <v>13088</v>
      </c>
      <c r="G794" t="s">
        <v>74</v>
      </c>
      <c r="H794" t="s">
        <v>74</v>
      </c>
      <c r="I794" t="s">
        <v>13089</v>
      </c>
      <c r="J794" t="s">
        <v>13090</v>
      </c>
      <c r="K794" t="s">
        <v>74</v>
      </c>
      <c r="L794" t="s">
        <v>74</v>
      </c>
      <c r="M794" t="s">
        <v>78</v>
      </c>
      <c r="N794" t="s">
        <v>1602</v>
      </c>
      <c r="O794" t="s">
        <v>13091</v>
      </c>
      <c r="P794" t="s">
        <v>13092</v>
      </c>
      <c r="Q794" t="s">
        <v>13093</v>
      </c>
      <c r="R794" t="s">
        <v>74</v>
      </c>
      <c r="S794" t="s">
        <v>74</v>
      </c>
      <c r="T794" t="s">
        <v>74</v>
      </c>
      <c r="U794" t="s">
        <v>13094</v>
      </c>
      <c r="V794" t="s">
        <v>13095</v>
      </c>
      <c r="W794" t="s">
        <v>13096</v>
      </c>
      <c r="X794" t="s">
        <v>13097</v>
      </c>
      <c r="Y794" t="s">
        <v>13098</v>
      </c>
      <c r="Z794" t="s">
        <v>13099</v>
      </c>
      <c r="AA794" t="s">
        <v>13100</v>
      </c>
      <c r="AB794" t="s">
        <v>13101</v>
      </c>
      <c r="AC794" t="s">
        <v>74</v>
      </c>
      <c r="AD794" t="s">
        <v>74</v>
      </c>
      <c r="AE794" t="s">
        <v>74</v>
      </c>
      <c r="AF794" t="s">
        <v>74</v>
      </c>
      <c r="AG794">
        <v>46</v>
      </c>
      <c r="AH794">
        <v>22</v>
      </c>
      <c r="AI794">
        <v>26</v>
      </c>
      <c r="AJ794">
        <v>0</v>
      </c>
      <c r="AK794">
        <v>29</v>
      </c>
      <c r="AL794" t="s">
        <v>834</v>
      </c>
      <c r="AM794" t="s">
        <v>835</v>
      </c>
      <c r="AN794" t="s">
        <v>836</v>
      </c>
      <c r="AO794" t="s">
        <v>13102</v>
      </c>
      <c r="AP794" t="s">
        <v>74</v>
      </c>
      <c r="AQ794" t="s">
        <v>74</v>
      </c>
      <c r="AR794" t="s">
        <v>13103</v>
      </c>
      <c r="AS794" t="s">
        <v>13104</v>
      </c>
      <c r="AT794" t="s">
        <v>13105</v>
      </c>
      <c r="AU794">
        <v>2007</v>
      </c>
      <c r="AV794">
        <v>19</v>
      </c>
      <c r="AW794">
        <v>41</v>
      </c>
      <c r="AX794" t="s">
        <v>74</v>
      </c>
      <c r="AY794" t="s">
        <v>74</v>
      </c>
      <c r="AZ794" t="s">
        <v>74</v>
      </c>
      <c r="BA794" t="s">
        <v>74</v>
      </c>
      <c r="BB794" t="s">
        <v>74</v>
      </c>
      <c r="BC794" t="s">
        <v>74</v>
      </c>
      <c r="BD794">
        <v>412101</v>
      </c>
      <c r="BE794" t="s">
        <v>13106</v>
      </c>
      <c r="BF794" t="str">
        <f>HYPERLINK("http://dx.doi.org/10.1088/0953-8984/19/41/412101","http://dx.doi.org/10.1088/0953-8984/19/41/412101")</f>
        <v>http://dx.doi.org/10.1088/0953-8984/19/41/412101</v>
      </c>
      <c r="BG794" t="s">
        <v>74</v>
      </c>
      <c r="BH794" t="s">
        <v>74</v>
      </c>
      <c r="BI794">
        <v>12</v>
      </c>
      <c r="BJ794" t="s">
        <v>13107</v>
      </c>
      <c r="BK794" t="s">
        <v>8389</v>
      </c>
      <c r="BL794" t="s">
        <v>813</v>
      </c>
      <c r="BM794" t="s">
        <v>13108</v>
      </c>
      <c r="BN794" t="s">
        <v>74</v>
      </c>
      <c r="BO794" t="s">
        <v>74</v>
      </c>
      <c r="BP794" t="s">
        <v>74</v>
      </c>
      <c r="BQ794" t="s">
        <v>74</v>
      </c>
      <c r="BR794" t="s">
        <v>100</v>
      </c>
      <c r="BS794" t="s">
        <v>13109</v>
      </c>
      <c r="BT794" t="str">
        <f>HYPERLINK("https%3A%2F%2Fwww.webofscience.com%2Fwos%2Fwoscc%2Ffull-record%2FWOS:000249987300002","View Full Record in Web of Science")</f>
        <v>View Full Record in Web of Science</v>
      </c>
    </row>
    <row r="795" spans="1:72" x14ac:dyDescent="0.15">
      <c r="A795" t="s">
        <v>72</v>
      </c>
      <c r="B795" t="s">
        <v>13110</v>
      </c>
      <c r="C795" t="s">
        <v>74</v>
      </c>
      <c r="D795" t="s">
        <v>74</v>
      </c>
      <c r="E795" t="s">
        <v>74</v>
      </c>
      <c r="F795" t="s">
        <v>13111</v>
      </c>
      <c r="G795" t="s">
        <v>74</v>
      </c>
      <c r="H795" t="s">
        <v>74</v>
      </c>
      <c r="I795" t="s">
        <v>13112</v>
      </c>
      <c r="J795" t="s">
        <v>615</v>
      </c>
      <c r="K795" t="s">
        <v>74</v>
      </c>
      <c r="L795" t="s">
        <v>74</v>
      </c>
      <c r="M795" t="s">
        <v>78</v>
      </c>
      <c r="N795" t="s">
        <v>79</v>
      </c>
      <c r="O795" t="s">
        <v>74</v>
      </c>
      <c r="P795" t="s">
        <v>74</v>
      </c>
      <c r="Q795" t="s">
        <v>74</v>
      </c>
      <c r="R795" t="s">
        <v>74</v>
      </c>
      <c r="S795" t="s">
        <v>74</v>
      </c>
      <c r="T795" t="s">
        <v>74</v>
      </c>
      <c r="U795" t="s">
        <v>13113</v>
      </c>
      <c r="V795" t="s">
        <v>13114</v>
      </c>
      <c r="W795" t="s">
        <v>13115</v>
      </c>
      <c r="X795" t="s">
        <v>13116</v>
      </c>
      <c r="Y795" t="s">
        <v>13117</v>
      </c>
      <c r="Z795" t="s">
        <v>13118</v>
      </c>
      <c r="AA795" t="s">
        <v>13119</v>
      </c>
      <c r="AB795" t="s">
        <v>13120</v>
      </c>
      <c r="AC795" t="s">
        <v>74</v>
      </c>
      <c r="AD795" t="s">
        <v>74</v>
      </c>
      <c r="AE795" t="s">
        <v>74</v>
      </c>
      <c r="AF795" t="s">
        <v>74</v>
      </c>
      <c r="AG795">
        <v>33</v>
      </c>
      <c r="AH795">
        <v>75</v>
      </c>
      <c r="AI795">
        <v>75</v>
      </c>
      <c r="AJ795">
        <v>0</v>
      </c>
      <c r="AK795">
        <v>16</v>
      </c>
      <c r="AL795" t="s">
        <v>193</v>
      </c>
      <c r="AM795" t="s">
        <v>194</v>
      </c>
      <c r="AN795" t="s">
        <v>195</v>
      </c>
      <c r="AO795" t="s">
        <v>623</v>
      </c>
      <c r="AP795" t="s">
        <v>624</v>
      </c>
      <c r="AQ795" t="s">
        <v>74</v>
      </c>
      <c r="AR795" t="s">
        <v>625</v>
      </c>
      <c r="AS795" t="s">
        <v>626</v>
      </c>
      <c r="AT795" t="s">
        <v>13121</v>
      </c>
      <c r="AU795">
        <v>2007</v>
      </c>
      <c r="AV795">
        <v>112</v>
      </c>
      <c r="AW795" t="s">
        <v>13050</v>
      </c>
      <c r="AX795" t="s">
        <v>74</v>
      </c>
      <c r="AY795" t="s">
        <v>74</v>
      </c>
      <c r="AZ795" t="s">
        <v>74</v>
      </c>
      <c r="BA795" t="s">
        <v>74</v>
      </c>
      <c r="BB795" t="s">
        <v>74</v>
      </c>
      <c r="BC795" t="s">
        <v>74</v>
      </c>
      <c r="BD795" t="s">
        <v>13122</v>
      </c>
      <c r="BE795" t="s">
        <v>13123</v>
      </c>
      <c r="BF795" t="str">
        <f>HYPERLINK("http://dx.doi.org/10.1029/2006JC003898","http://dx.doi.org/10.1029/2006JC003898")</f>
        <v>http://dx.doi.org/10.1029/2006JC003898</v>
      </c>
      <c r="BG795" t="s">
        <v>74</v>
      </c>
      <c r="BH795" t="s">
        <v>74</v>
      </c>
      <c r="BI795">
        <v>18</v>
      </c>
      <c r="BJ795" t="s">
        <v>630</v>
      </c>
      <c r="BK795" t="s">
        <v>97</v>
      </c>
      <c r="BL795" t="s">
        <v>630</v>
      </c>
      <c r="BM795" t="s">
        <v>13124</v>
      </c>
      <c r="BN795" t="s">
        <v>74</v>
      </c>
      <c r="BO795" t="s">
        <v>179</v>
      </c>
      <c r="BP795" t="s">
        <v>74</v>
      </c>
      <c r="BQ795" t="s">
        <v>74</v>
      </c>
      <c r="BR795" t="s">
        <v>100</v>
      </c>
      <c r="BS795" t="s">
        <v>13125</v>
      </c>
      <c r="BT795" t="str">
        <f>HYPERLINK("https%3A%2F%2Fwww.webofscience.com%2Fwos%2Fwoscc%2Ffull-record%2FWOS:000250450000001","View Full Record in Web of Science")</f>
        <v>View Full Record in Web of Science</v>
      </c>
    </row>
    <row r="796" spans="1:72" x14ac:dyDescent="0.15">
      <c r="A796" t="s">
        <v>72</v>
      </c>
      <c r="B796" t="s">
        <v>13126</v>
      </c>
      <c r="C796" t="s">
        <v>74</v>
      </c>
      <c r="D796" t="s">
        <v>74</v>
      </c>
      <c r="E796" t="s">
        <v>74</v>
      </c>
      <c r="F796" t="s">
        <v>13127</v>
      </c>
      <c r="G796" t="s">
        <v>74</v>
      </c>
      <c r="H796" t="s">
        <v>74</v>
      </c>
      <c r="I796" t="s">
        <v>13128</v>
      </c>
      <c r="J796" t="s">
        <v>419</v>
      </c>
      <c r="K796" t="s">
        <v>74</v>
      </c>
      <c r="L796" t="s">
        <v>74</v>
      </c>
      <c r="M796" t="s">
        <v>78</v>
      </c>
      <c r="N796" t="s">
        <v>79</v>
      </c>
      <c r="O796" t="s">
        <v>74</v>
      </c>
      <c r="P796" t="s">
        <v>74</v>
      </c>
      <c r="Q796" t="s">
        <v>74</v>
      </c>
      <c r="R796" t="s">
        <v>74</v>
      </c>
      <c r="S796" t="s">
        <v>74</v>
      </c>
      <c r="T796" t="s">
        <v>74</v>
      </c>
      <c r="U796" t="s">
        <v>13129</v>
      </c>
      <c r="V796" t="s">
        <v>13130</v>
      </c>
      <c r="W796" t="s">
        <v>13131</v>
      </c>
      <c r="X796" t="s">
        <v>13132</v>
      </c>
      <c r="Y796" t="s">
        <v>13133</v>
      </c>
      <c r="Z796" t="s">
        <v>74</v>
      </c>
      <c r="AA796" t="s">
        <v>13134</v>
      </c>
      <c r="AB796" t="s">
        <v>13135</v>
      </c>
      <c r="AC796" t="s">
        <v>74</v>
      </c>
      <c r="AD796" t="s">
        <v>74</v>
      </c>
      <c r="AE796" t="s">
        <v>74</v>
      </c>
      <c r="AF796" t="s">
        <v>74</v>
      </c>
      <c r="AG796">
        <v>85</v>
      </c>
      <c r="AH796">
        <v>155</v>
      </c>
      <c r="AI796">
        <v>166</v>
      </c>
      <c r="AJ796">
        <v>0</v>
      </c>
      <c r="AK796">
        <v>58</v>
      </c>
      <c r="AL796" t="s">
        <v>193</v>
      </c>
      <c r="AM796" t="s">
        <v>194</v>
      </c>
      <c r="AN796" t="s">
        <v>195</v>
      </c>
      <c r="AO796" t="s">
        <v>426</v>
      </c>
      <c r="AP796" t="s">
        <v>427</v>
      </c>
      <c r="AQ796" t="s">
        <v>74</v>
      </c>
      <c r="AR796" t="s">
        <v>419</v>
      </c>
      <c r="AS796" t="s">
        <v>428</v>
      </c>
      <c r="AT796" t="s">
        <v>13121</v>
      </c>
      <c r="AU796">
        <v>2007</v>
      </c>
      <c r="AV796">
        <v>22</v>
      </c>
      <c r="AW796">
        <v>4</v>
      </c>
      <c r="AX796" t="s">
        <v>74</v>
      </c>
      <c r="AY796" t="s">
        <v>74</v>
      </c>
      <c r="AZ796" t="s">
        <v>74</v>
      </c>
      <c r="BA796" t="s">
        <v>74</v>
      </c>
      <c r="BB796" t="s">
        <v>74</v>
      </c>
      <c r="BC796" t="s">
        <v>74</v>
      </c>
      <c r="BD796" t="s">
        <v>13136</v>
      </c>
      <c r="BE796" t="s">
        <v>13137</v>
      </c>
      <c r="BF796" t="str">
        <f>HYPERLINK("http://dx.doi.org/10.1029/2006PA001380","http://dx.doi.org/10.1029/2006PA001380")</f>
        <v>http://dx.doi.org/10.1029/2006PA001380</v>
      </c>
      <c r="BG796" t="s">
        <v>74</v>
      </c>
      <c r="BH796" t="s">
        <v>74</v>
      </c>
      <c r="BI796">
        <v>14</v>
      </c>
      <c r="BJ796" t="s">
        <v>431</v>
      </c>
      <c r="BK796" t="s">
        <v>97</v>
      </c>
      <c r="BL796" t="s">
        <v>432</v>
      </c>
      <c r="BM796" t="s">
        <v>13138</v>
      </c>
      <c r="BN796" t="s">
        <v>74</v>
      </c>
      <c r="BO796" t="s">
        <v>206</v>
      </c>
      <c r="BP796" t="s">
        <v>74</v>
      </c>
      <c r="BQ796" t="s">
        <v>74</v>
      </c>
      <c r="BR796" t="s">
        <v>100</v>
      </c>
      <c r="BS796" t="s">
        <v>13139</v>
      </c>
      <c r="BT796" t="str">
        <f>HYPERLINK("https%3A%2F%2Fwww.webofscience.com%2Fwos%2Fwoscc%2Ffull-record%2FWOS:000250451600001","View Full Record in Web of Science")</f>
        <v>View Full Record in Web of Science</v>
      </c>
    </row>
    <row r="797" spans="1:72" x14ac:dyDescent="0.15">
      <c r="A797" t="s">
        <v>72</v>
      </c>
      <c r="B797" t="s">
        <v>13140</v>
      </c>
      <c r="C797" t="s">
        <v>74</v>
      </c>
      <c r="D797" t="s">
        <v>74</v>
      </c>
      <c r="E797" t="s">
        <v>74</v>
      </c>
      <c r="F797" t="s">
        <v>13141</v>
      </c>
      <c r="G797" t="s">
        <v>74</v>
      </c>
      <c r="H797" t="s">
        <v>74</v>
      </c>
      <c r="I797" t="s">
        <v>13142</v>
      </c>
      <c r="J797" t="s">
        <v>13143</v>
      </c>
      <c r="K797" t="s">
        <v>74</v>
      </c>
      <c r="L797" t="s">
        <v>74</v>
      </c>
      <c r="M797" t="s">
        <v>78</v>
      </c>
      <c r="N797" t="s">
        <v>79</v>
      </c>
      <c r="O797" t="s">
        <v>74</v>
      </c>
      <c r="P797" t="s">
        <v>74</v>
      </c>
      <c r="Q797" t="s">
        <v>74</v>
      </c>
      <c r="R797" t="s">
        <v>74</v>
      </c>
      <c r="S797" t="s">
        <v>74</v>
      </c>
      <c r="T797" t="s">
        <v>13144</v>
      </c>
      <c r="U797" t="s">
        <v>13145</v>
      </c>
      <c r="V797" t="s">
        <v>13146</v>
      </c>
      <c r="W797" t="s">
        <v>13147</v>
      </c>
      <c r="X797" t="s">
        <v>13148</v>
      </c>
      <c r="Y797" t="s">
        <v>13149</v>
      </c>
      <c r="Z797" t="s">
        <v>13150</v>
      </c>
      <c r="AA797" t="s">
        <v>13151</v>
      </c>
      <c r="AB797" t="s">
        <v>13152</v>
      </c>
      <c r="AC797" t="s">
        <v>74</v>
      </c>
      <c r="AD797" t="s">
        <v>74</v>
      </c>
      <c r="AE797" t="s">
        <v>74</v>
      </c>
      <c r="AF797" t="s">
        <v>74</v>
      </c>
      <c r="AG797">
        <v>50</v>
      </c>
      <c r="AH797">
        <v>43</v>
      </c>
      <c r="AI797">
        <v>57</v>
      </c>
      <c r="AJ797">
        <v>0</v>
      </c>
      <c r="AK797">
        <v>38</v>
      </c>
      <c r="AL797" t="s">
        <v>13153</v>
      </c>
      <c r="AM797" t="s">
        <v>118</v>
      </c>
      <c r="AN797" t="s">
        <v>13154</v>
      </c>
      <c r="AO797" t="s">
        <v>13155</v>
      </c>
      <c r="AP797" t="s">
        <v>13156</v>
      </c>
      <c r="AQ797" t="s">
        <v>74</v>
      </c>
      <c r="AR797" t="s">
        <v>13157</v>
      </c>
      <c r="AS797" t="s">
        <v>13158</v>
      </c>
      <c r="AT797" t="s">
        <v>13159</v>
      </c>
      <c r="AU797">
        <v>2007</v>
      </c>
      <c r="AV797">
        <v>407</v>
      </c>
      <c r="AW797" t="s">
        <v>74</v>
      </c>
      <c r="AX797">
        <v>2</v>
      </c>
      <c r="AY797" t="s">
        <v>74</v>
      </c>
      <c r="AZ797" t="s">
        <v>74</v>
      </c>
      <c r="BA797" t="s">
        <v>74</v>
      </c>
      <c r="BB797">
        <v>293</v>
      </c>
      <c r="BC797">
        <v>302</v>
      </c>
      <c r="BD797" t="s">
        <v>74</v>
      </c>
      <c r="BE797" t="s">
        <v>13160</v>
      </c>
      <c r="BF797" t="str">
        <f>HYPERLINK("http://dx.doi.org/10.1042/BJ20070640","http://dx.doi.org/10.1042/BJ20070640")</f>
        <v>http://dx.doi.org/10.1042/BJ20070640</v>
      </c>
      <c r="BG797" t="s">
        <v>74</v>
      </c>
      <c r="BH797" t="s">
        <v>74</v>
      </c>
      <c r="BI797">
        <v>10</v>
      </c>
      <c r="BJ797" t="s">
        <v>7853</v>
      </c>
      <c r="BK797" t="s">
        <v>97</v>
      </c>
      <c r="BL797" t="s">
        <v>7853</v>
      </c>
      <c r="BM797" t="s">
        <v>13161</v>
      </c>
      <c r="BN797">
        <v>17635108</v>
      </c>
      <c r="BO797" t="s">
        <v>4634</v>
      </c>
      <c r="BP797" t="s">
        <v>74</v>
      </c>
      <c r="BQ797" t="s">
        <v>74</v>
      </c>
      <c r="BR797" t="s">
        <v>100</v>
      </c>
      <c r="BS797" t="s">
        <v>13162</v>
      </c>
      <c r="BT797" t="str">
        <f>HYPERLINK("https%3A%2F%2Fwww.webofscience.com%2Fwos%2Fwoscc%2Ffull-record%2FWOS:000250188600015","View Full Record in Web of Science")</f>
        <v>View Full Record in Web of Science</v>
      </c>
    </row>
    <row r="798" spans="1:72" x14ac:dyDescent="0.15">
      <c r="A798" t="s">
        <v>72</v>
      </c>
      <c r="B798" t="s">
        <v>13163</v>
      </c>
      <c r="C798" t="s">
        <v>74</v>
      </c>
      <c r="D798" t="s">
        <v>74</v>
      </c>
      <c r="E798" t="s">
        <v>74</v>
      </c>
      <c r="F798" t="s">
        <v>13164</v>
      </c>
      <c r="G798" t="s">
        <v>74</v>
      </c>
      <c r="H798" t="s">
        <v>74</v>
      </c>
      <c r="I798" t="s">
        <v>13165</v>
      </c>
      <c r="J798" t="s">
        <v>13166</v>
      </c>
      <c r="K798" t="s">
        <v>74</v>
      </c>
      <c r="L798" t="s">
        <v>74</v>
      </c>
      <c r="M798" t="s">
        <v>78</v>
      </c>
      <c r="N798" t="s">
        <v>79</v>
      </c>
      <c r="O798" t="s">
        <v>74</v>
      </c>
      <c r="P798" t="s">
        <v>74</v>
      </c>
      <c r="Q798" t="s">
        <v>74</v>
      </c>
      <c r="R798" t="s">
        <v>74</v>
      </c>
      <c r="S798" t="s">
        <v>74</v>
      </c>
      <c r="T798" t="s">
        <v>13167</v>
      </c>
      <c r="U798" t="s">
        <v>13168</v>
      </c>
      <c r="V798" t="s">
        <v>13169</v>
      </c>
      <c r="W798" t="s">
        <v>13170</v>
      </c>
      <c r="X798" t="s">
        <v>13171</v>
      </c>
      <c r="Y798" t="s">
        <v>13172</v>
      </c>
      <c r="Z798" t="s">
        <v>74</v>
      </c>
      <c r="AA798" t="s">
        <v>74</v>
      </c>
      <c r="AB798" t="s">
        <v>13173</v>
      </c>
      <c r="AC798" t="s">
        <v>74</v>
      </c>
      <c r="AD798" t="s">
        <v>74</v>
      </c>
      <c r="AE798" t="s">
        <v>74</v>
      </c>
      <c r="AF798" t="s">
        <v>74</v>
      </c>
      <c r="AG798">
        <v>55</v>
      </c>
      <c r="AH798">
        <v>89</v>
      </c>
      <c r="AI798">
        <v>99</v>
      </c>
      <c r="AJ798">
        <v>0</v>
      </c>
      <c r="AK798">
        <v>24</v>
      </c>
      <c r="AL798" t="s">
        <v>265</v>
      </c>
      <c r="AM798" t="s">
        <v>266</v>
      </c>
      <c r="AN798" t="s">
        <v>267</v>
      </c>
      <c r="AO798" t="s">
        <v>13174</v>
      </c>
      <c r="AP798" t="s">
        <v>13175</v>
      </c>
      <c r="AQ798" t="s">
        <v>74</v>
      </c>
      <c r="AR798" t="s">
        <v>13176</v>
      </c>
      <c r="AS798" t="s">
        <v>13177</v>
      </c>
      <c r="AT798" t="s">
        <v>13159</v>
      </c>
      <c r="AU798">
        <v>2007</v>
      </c>
      <c r="AV798">
        <v>244</v>
      </c>
      <c r="AW798" t="s">
        <v>489</v>
      </c>
      <c r="AX798" t="s">
        <v>74</v>
      </c>
      <c r="AY798" t="s">
        <v>74</v>
      </c>
      <c r="AZ798" t="s">
        <v>74</v>
      </c>
      <c r="BA798" t="s">
        <v>74</v>
      </c>
      <c r="BB798">
        <v>507</v>
      </c>
      <c r="BC798">
        <v>519</v>
      </c>
      <c r="BD798" t="s">
        <v>74</v>
      </c>
      <c r="BE798" t="s">
        <v>13178</v>
      </c>
      <c r="BF798" t="str">
        <f>HYPERLINK("http://dx.doi.org/10.1016/j.chemgeo.2007.07.017","http://dx.doi.org/10.1016/j.chemgeo.2007.07.017")</f>
        <v>http://dx.doi.org/10.1016/j.chemgeo.2007.07.017</v>
      </c>
      <c r="BG798" t="s">
        <v>74</v>
      </c>
      <c r="BH798" t="s">
        <v>74</v>
      </c>
      <c r="BI798">
        <v>13</v>
      </c>
      <c r="BJ798" t="s">
        <v>553</v>
      </c>
      <c r="BK798" t="s">
        <v>97</v>
      </c>
      <c r="BL798" t="s">
        <v>553</v>
      </c>
      <c r="BM798" t="s">
        <v>13179</v>
      </c>
      <c r="BN798" t="s">
        <v>74</v>
      </c>
      <c r="BO798" t="s">
        <v>74</v>
      </c>
      <c r="BP798" t="s">
        <v>74</v>
      </c>
      <c r="BQ798" t="s">
        <v>74</v>
      </c>
      <c r="BR798" t="s">
        <v>100</v>
      </c>
      <c r="BS798" t="s">
        <v>13180</v>
      </c>
      <c r="BT798" t="str">
        <f>HYPERLINK("https%3A%2F%2Fwww.webofscience.com%2Fwos%2Fwoscc%2Ffull-record%2FWOS:000250284900011","View Full Record in Web of Science")</f>
        <v>View Full Record in Web of Science</v>
      </c>
    </row>
    <row r="799" spans="1:72" x14ac:dyDescent="0.15">
      <c r="A799" t="s">
        <v>72</v>
      </c>
      <c r="B799" t="s">
        <v>13181</v>
      </c>
      <c r="C799" t="s">
        <v>74</v>
      </c>
      <c r="D799" t="s">
        <v>74</v>
      </c>
      <c r="E799" t="s">
        <v>74</v>
      </c>
      <c r="F799" t="s">
        <v>13182</v>
      </c>
      <c r="G799" t="s">
        <v>74</v>
      </c>
      <c r="H799" t="s">
        <v>74</v>
      </c>
      <c r="I799" t="s">
        <v>13183</v>
      </c>
      <c r="J799" t="s">
        <v>574</v>
      </c>
      <c r="K799" t="s">
        <v>74</v>
      </c>
      <c r="L799" t="s">
        <v>74</v>
      </c>
      <c r="M799" t="s">
        <v>78</v>
      </c>
      <c r="N799" t="s">
        <v>79</v>
      </c>
      <c r="O799" t="s">
        <v>74</v>
      </c>
      <c r="P799" t="s">
        <v>74</v>
      </c>
      <c r="Q799" t="s">
        <v>74</v>
      </c>
      <c r="R799" t="s">
        <v>74</v>
      </c>
      <c r="S799" t="s">
        <v>74</v>
      </c>
      <c r="T799" t="s">
        <v>74</v>
      </c>
      <c r="U799" t="s">
        <v>13184</v>
      </c>
      <c r="V799" t="s">
        <v>13185</v>
      </c>
      <c r="W799" t="s">
        <v>13186</v>
      </c>
      <c r="X799" t="s">
        <v>13187</v>
      </c>
      <c r="Y799" t="s">
        <v>13188</v>
      </c>
      <c r="Z799" t="s">
        <v>13189</v>
      </c>
      <c r="AA799" t="s">
        <v>13190</v>
      </c>
      <c r="AB799" t="s">
        <v>13191</v>
      </c>
      <c r="AC799" t="s">
        <v>74</v>
      </c>
      <c r="AD799" t="s">
        <v>74</v>
      </c>
      <c r="AE799" t="s">
        <v>74</v>
      </c>
      <c r="AF799" t="s">
        <v>74</v>
      </c>
      <c r="AG799">
        <v>63</v>
      </c>
      <c r="AH799">
        <v>47</v>
      </c>
      <c r="AI799">
        <v>50</v>
      </c>
      <c r="AJ799">
        <v>0</v>
      </c>
      <c r="AK799">
        <v>20</v>
      </c>
      <c r="AL799" t="s">
        <v>583</v>
      </c>
      <c r="AM799" t="s">
        <v>584</v>
      </c>
      <c r="AN799" t="s">
        <v>13192</v>
      </c>
      <c r="AO799" t="s">
        <v>586</v>
      </c>
      <c r="AP799" t="s">
        <v>587</v>
      </c>
      <c r="AQ799" t="s">
        <v>74</v>
      </c>
      <c r="AR799" t="s">
        <v>588</v>
      </c>
      <c r="AS799" t="s">
        <v>589</v>
      </c>
      <c r="AT799" t="s">
        <v>13159</v>
      </c>
      <c r="AU799">
        <v>2007</v>
      </c>
      <c r="AV799">
        <v>20</v>
      </c>
      <c r="AW799">
        <v>20</v>
      </c>
      <c r="AX799" t="s">
        <v>74</v>
      </c>
      <c r="AY799" t="s">
        <v>74</v>
      </c>
      <c r="AZ799" t="s">
        <v>74</v>
      </c>
      <c r="BA799" t="s">
        <v>74</v>
      </c>
      <c r="BB799">
        <v>5061</v>
      </c>
      <c r="BC799">
        <v>5080</v>
      </c>
      <c r="BD799" t="s">
        <v>74</v>
      </c>
      <c r="BE799" t="s">
        <v>13193</v>
      </c>
      <c r="BF799" t="str">
        <f>HYPERLINK("http://dx.doi.org/10.1175/JCLI4295.1","http://dx.doi.org/10.1175/JCLI4295.1")</f>
        <v>http://dx.doi.org/10.1175/JCLI4295.1</v>
      </c>
      <c r="BG799" t="s">
        <v>74</v>
      </c>
      <c r="BH799" t="s">
        <v>74</v>
      </c>
      <c r="BI799">
        <v>20</v>
      </c>
      <c r="BJ799" t="s">
        <v>204</v>
      </c>
      <c r="BK799" t="s">
        <v>97</v>
      </c>
      <c r="BL799" t="s">
        <v>204</v>
      </c>
      <c r="BM799" t="s">
        <v>13194</v>
      </c>
      <c r="BN799" t="s">
        <v>74</v>
      </c>
      <c r="BO799" t="s">
        <v>649</v>
      </c>
      <c r="BP799" t="s">
        <v>74</v>
      </c>
      <c r="BQ799" t="s">
        <v>74</v>
      </c>
      <c r="BR799" t="s">
        <v>100</v>
      </c>
      <c r="BS799" t="s">
        <v>13195</v>
      </c>
      <c r="BT799" t="str">
        <f>HYPERLINK("https%3A%2F%2Fwww.webofscience.com%2Fwos%2Fwoscc%2Ffull-record%2FWOS:000250105900003","View Full Record in Web of Science")</f>
        <v>View Full Record in Web of Science</v>
      </c>
    </row>
    <row r="800" spans="1:72" x14ac:dyDescent="0.15">
      <c r="A800" t="s">
        <v>72</v>
      </c>
      <c r="B800" t="s">
        <v>13196</v>
      </c>
      <c r="C800" t="s">
        <v>74</v>
      </c>
      <c r="D800" t="s">
        <v>74</v>
      </c>
      <c r="E800" t="s">
        <v>74</v>
      </c>
      <c r="F800" t="s">
        <v>13197</v>
      </c>
      <c r="G800" t="s">
        <v>74</v>
      </c>
      <c r="H800" t="s">
        <v>74</v>
      </c>
      <c r="I800" t="s">
        <v>13198</v>
      </c>
      <c r="J800" t="s">
        <v>13199</v>
      </c>
      <c r="K800" t="s">
        <v>74</v>
      </c>
      <c r="L800" t="s">
        <v>74</v>
      </c>
      <c r="M800" t="s">
        <v>78</v>
      </c>
      <c r="N800" t="s">
        <v>79</v>
      </c>
      <c r="O800" t="s">
        <v>74</v>
      </c>
      <c r="P800" t="s">
        <v>74</v>
      </c>
      <c r="Q800" t="s">
        <v>74</v>
      </c>
      <c r="R800" t="s">
        <v>74</v>
      </c>
      <c r="S800" t="s">
        <v>74</v>
      </c>
      <c r="T800" t="s">
        <v>13200</v>
      </c>
      <c r="U800" t="s">
        <v>13201</v>
      </c>
      <c r="V800" t="s">
        <v>13202</v>
      </c>
      <c r="W800" t="s">
        <v>13203</v>
      </c>
      <c r="X800" t="s">
        <v>13204</v>
      </c>
      <c r="Y800" t="s">
        <v>13205</v>
      </c>
      <c r="Z800" t="s">
        <v>13206</v>
      </c>
      <c r="AA800" t="s">
        <v>13207</v>
      </c>
      <c r="AB800" t="s">
        <v>13208</v>
      </c>
      <c r="AC800" t="s">
        <v>74</v>
      </c>
      <c r="AD800" t="s">
        <v>74</v>
      </c>
      <c r="AE800" t="s">
        <v>74</v>
      </c>
      <c r="AF800" t="s">
        <v>74</v>
      </c>
      <c r="AG800">
        <v>20</v>
      </c>
      <c r="AH800">
        <v>13</v>
      </c>
      <c r="AI800">
        <v>16</v>
      </c>
      <c r="AJ800">
        <v>0</v>
      </c>
      <c r="AK800">
        <v>14</v>
      </c>
      <c r="AL800" t="s">
        <v>10009</v>
      </c>
      <c r="AM800" t="s">
        <v>1532</v>
      </c>
      <c r="AN800" t="s">
        <v>10010</v>
      </c>
      <c r="AO800" t="s">
        <v>13209</v>
      </c>
      <c r="AP800" t="s">
        <v>13210</v>
      </c>
      <c r="AQ800" t="s">
        <v>74</v>
      </c>
      <c r="AR800" t="s">
        <v>13211</v>
      </c>
      <c r="AS800" t="s">
        <v>13212</v>
      </c>
      <c r="AT800" t="s">
        <v>13213</v>
      </c>
      <c r="AU800">
        <v>2007</v>
      </c>
      <c r="AV800">
        <v>362</v>
      </c>
      <c r="AW800">
        <v>1</v>
      </c>
      <c r="AX800" t="s">
        <v>74</v>
      </c>
      <c r="AY800" t="s">
        <v>74</v>
      </c>
      <c r="AZ800" t="s">
        <v>74</v>
      </c>
      <c r="BA800" t="s">
        <v>74</v>
      </c>
      <c r="BB800">
        <v>81</v>
      </c>
      <c r="BC800">
        <v>87</v>
      </c>
      <c r="BD800" t="s">
        <v>74</v>
      </c>
      <c r="BE800" t="s">
        <v>13214</v>
      </c>
      <c r="BF800" t="str">
        <f>HYPERLINK("http://dx.doi.org/10.1016/j.bbrc.2007.07.150","http://dx.doi.org/10.1016/j.bbrc.2007.07.150")</f>
        <v>http://dx.doi.org/10.1016/j.bbrc.2007.07.150</v>
      </c>
      <c r="BG800" t="s">
        <v>74</v>
      </c>
      <c r="BH800" t="s">
        <v>74</v>
      </c>
      <c r="BI800">
        <v>7</v>
      </c>
      <c r="BJ800" t="s">
        <v>7226</v>
      </c>
      <c r="BK800" t="s">
        <v>97</v>
      </c>
      <c r="BL800" t="s">
        <v>7226</v>
      </c>
      <c r="BM800" t="s">
        <v>13215</v>
      </c>
      <c r="BN800">
        <v>17697671</v>
      </c>
      <c r="BO800" t="s">
        <v>74</v>
      </c>
      <c r="BP800" t="s">
        <v>74</v>
      </c>
      <c r="BQ800" t="s">
        <v>74</v>
      </c>
      <c r="BR800" t="s">
        <v>100</v>
      </c>
      <c r="BS800" t="s">
        <v>13216</v>
      </c>
      <c r="BT800" t="str">
        <f>HYPERLINK("https%3A%2F%2Fwww.webofscience.com%2Fwos%2Fwoscc%2Ffull-record%2FWOS:000249357700014","View Full Record in Web of Science")</f>
        <v>View Full Record in Web of Science</v>
      </c>
    </row>
    <row r="801" spans="1:72" x14ac:dyDescent="0.15">
      <c r="A801" t="s">
        <v>72</v>
      </c>
      <c r="B801" t="s">
        <v>13217</v>
      </c>
      <c r="C801" t="s">
        <v>74</v>
      </c>
      <c r="D801" t="s">
        <v>74</v>
      </c>
      <c r="E801" t="s">
        <v>74</v>
      </c>
      <c r="F801" t="s">
        <v>13218</v>
      </c>
      <c r="G801" t="s">
        <v>74</v>
      </c>
      <c r="H801" t="s">
        <v>74</v>
      </c>
      <c r="I801" t="s">
        <v>13219</v>
      </c>
      <c r="J801" t="s">
        <v>184</v>
      </c>
      <c r="K801" t="s">
        <v>74</v>
      </c>
      <c r="L801" t="s">
        <v>74</v>
      </c>
      <c r="M801" t="s">
        <v>78</v>
      </c>
      <c r="N801" t="s">
        <v>79</v>
      </c>
      <c r="O801" t="s">
        <v>74</v>
      </c>
      <c r="P801" t="s">
        <v>74</v>
      </c>
      <c r="Q801" t="s">
        <v>74</v>
      </c>
      <c r="R801" t="s">
        <v>74</v>
      </c>
      <c r="S801" t="s">
        <v>74</v>
      </c>
      <c r="T801" t="s">
        <v>74</v>
      </c>
      <c r="U801" t="s">
        <v>13220</v>
      </c>
      <c r="V801" t="s">
        <v>13221</v>
      </c>
      <c r="W801" t="s">
        <v>13222</v>
      </c>
      <c r="X801" t="s">
        <v>13223</v>
      </c>
      <c r="Y801" t="s">
        <v>13224</v>
      </c>
      <c r="Z801" t="s">
        <v>13225</v>
      </c>
      <c r="AA801" t="s">
        <v>13226</v>
      </c>
      <c r="AB801" t="s">
        <v>13227</v>
      </c>
      <c r="AC801" t="s">
        <v>74</v>
      </c>
      <c r="AD801" t="s">
        <v>74</v>
      </c>
      <c r="AE801" t="s">
        <v>74</v>
      </c>
      <c r="AF801" t="s">
        <v>74</v>
      </c>
      <c r="AG801">
        <v>49</v>
      </c>
      <c r="AH801">
        <v>5</v>
      </c>
      <c r="AI801">
        <v>7</v>
      </c>
      <c r="AJ801">
        <v>0</v>
      </c>
      <c r="AK801">
        <v>6</v>
      </c>
      <c r="AL801" t="s">
        <v>193</v>
      </c>
      <c r="AM801" t="s">
        <v>194</v>
      </c>
      <c r="AN801" t="s">
        <v>195</v>
      </c>
      <c r="AO801" t="s">
        <v>196</v>
      </c>
      <c r="AP801" t="s">
        <v>197</v>
      </c>
      <c r="AQ801" t="s">
        <v>74</v>
      </c>
      <c r="AR801" t="s">
        <v>198</v>
      </c>
      <c r="AS801" t="s">
        <v>199</v>
      </c>
      <c r="AT801" t="s">
        <v>13213</v>
      </c>
      <c r="AU801">
        <v>2007</v>
      </c>
      <c r="AV801">
        <v>112</v>
      </c>
      <c r="AW801" t="s">
        <v>13228</v>
      </c>
      <c r="AX801" t="s">
        <v>74</v>
      </c>
      <c r="AY801" t="s">
        <v>74</v>
      </c>
      <c r="AZ801" t="s">
        <v>74</v>
      </c>
      <c r="BA801" t="s">
        <v>74</v>
      </c>
      <c r="BB801" t="s">
        <v>74</v>
      </c>
      <c r="BC801" t="s">
        <v>74</v>
      </c>
      <c r="BD801" t="s">
        <v>13229</v>
      </c>
      <c r="BE801" t="s">
        <v>13230</v>
      </c>
      <c r="BF801" t="str">
        <f>HYPERLINK("http://dx.doi.org/10.1029/2006JD007982","http://dx.doi.org/10.1029/2006JD007982")</f>
        <v>http://dx.doi.org/10.1029/2006JD007982</v>
      </c>
      <c r="BG801" t="s">
        <v>74</v>
      </c>
      <c r="BH801" t="s">
        <v>74</v>
      </c>
      <c r="BI801">
        <v>12</v>
      </c>
      <c r="BJ801" t="s">
        <v>204</v>
      </c>
      <c r="BK801" t="s">
        <v>97</v>
      </c>
      <c r="BL801" t="s">
        <v>204</v>
      </c>
      <c r="BM801" t="s">
        <v>13231</v>
      </c>
      <c r="BN801" t="s">
        <v>74</v>
      </c>
      <c r="BO801" t="s">
        <v>179</v>
      </c>
      <c r="BP801" t="s">
        <v>74</v>
      </c>
      <c r="BQ801" t="s">
        <v>74</v>
      </c>
      <c r="BR801" t="s">
        <v>100</v>
      </c>
      <c r="BS801" t="s">
        <v>13232</v>
      </c>
      <c r="BT801" t="str">
        <f>HYPERLINK("https%3A%2F%2Fwww.webofscience.com%2Fwos%2Fwoscc%2Ffull-record%2FWOS:000250219200001","View Full Record in Web of Science")</f>
        <v>View Full Record in Web of Science</v>
      </c>
    </row>
    <row r="802" spans="1:72" x14ac:dyDescent="0.15">
      <c r="A802" t="s">
        <v>72</v>
      </c>
      <c r="B802" t="s">
        <v>13233</v>
      </c>
      <c r="C802" t="s">
        <v>74</v>
      </c>
      <c r="D802" t="s">
        <v>74</v>
      </c>
      <c r="E802" t="s">
        <v>74</v>
      </c>
      <c r="F802" t="s">
        <v>13234</v>
      </c>
      <c r="G802" t="s">
        <v>74</v>
      </c>
      <c r="H802" t="s">
        <v>74</v>
      </c>
      <c r="I802" t="s">
        <v>13235</v>
      </c>
      <c r="J802" t="s">
        <v>184</v>
      </c>
      <c r="K802" t="s">
        <v>74</v>
      </c>
      <c r="L802" t="s">
        <v>74</v>
      </c>
      <c r="M802" t="s">
        <v>78</v>
      </c>
      <c r="N802" t="s">
        <v>79</v>
      </c>
      <c r="O802" t="s">
        <v>74</v>
      </c>
      <c r="P802" t="s">
        <v>74</v>
      </c>
      <c r="Q802" t="s">
        <v>74</v>
      </c>
      <c r="R802" t="s">
        <v>74</v>
      </c>
      <c r="S802" t="s">
        <v>74</v>
      </c>
      <c r="T802" t="s">
        <v>74</v>
      </c>
      <c r="U802" t="s">
        <v>13236</v>
      </c>
      <c r="V802" t="s">
        <v>13237</v>
      </c>
      <c r="W802" t="s">
        <v>13238</v>
      </c>
      <c r="X802" t="s">
        <v>13239</v>
      </c>
      <c r="Y802" t="s">
        <v>13240</v>
      </c>
      <c r="Z802" t="s">
        <v>13241</v>
      </c>
      <c r="AA802" t="s">
        <v>74</v>
      </c>
      <c r="AB802" t="s">
        <v>74</v>
      </c>
      <c r="AC802" t="s">
        <v>1636</v>
      </c>
      <c r="AD802" t="s">
        <v>444</v>
      </c>
      <c r="AE802" t="s">
        <v>74</v>
      </c>
      <c r="AF802" t="s">
        <v>74</v>
      </c>
      <c r="AG802">
        <v>42</v>
      </c>
      <c r="AH802">
        <v>10</v>
      </c>
      <c r="AI802">
        <v>12</v>
      </c>
      <c r="AJ802">
        <v>0</v>
      </c>
      <c r="AK802">
        <v>2</v>
      </c>
      <c r="AL802" t="s">
        <v>193</v>
      </c>
      <c r="AM802" t="s">
        <v>194</v>
      </c>
      <c r="AN802" t="s">
        <v>195</v>
      </c>
      <c r="AO802" t="s">
        <v>196</v>
      </c>
      <c r="AP802" t="s">
        <v>197</v>
      </c>
      <c r="AQ802" t="s">
        <v>74</v>
      </c>
      <c r="AR802" t="s">
        <v>198</v>
      </c>
      <c r="AS802" t="s">
        <v>199</v>
      </c>
      <c r="AT802" t="s">
        <v>13242</v>
      </c>
      <c r="AU802">
        <v>2007</v>
      </c>
      <c r="AV802">
        <v>112</v>
      </c>
      <c r="AW802" t="s">
        <v>13228</v>
      </c>
      <c r="AX802" t="s">
        <v>74</v>
      </c>
      <c r="AY802" t="s">
        <v>74</v>
      </c>
      <c r="AZ802" t="s">
        <v>74</v>
      </c>
      <c r="BA802" t="s">
        <v>74</v>
      </c>
      <c r="BB802" t="s">
        <v>74</v>
      </c>
      <c r="BC802" t="s">
        <v>74</v>
      </c>
      <c r="BD802" t="s">
        <v>13243</v>
      </c>
      <c r="BE802" t="s">
        <v>13244</v>
      </c>
      <c r="BF802" t="str">
        <f>HYPERLINK("http://dx.doi.org/10.1029/2006JD007158","http://dx.doi.org/10.1029/2006JD007158")</f>
        <v>http://dx.doi.org/10.1029/2006JD007158</v>
      </c>
      <c r="BG802" t="s">
        <v>74</v>
      </c>
      <c r="BH802" t="s">
        <v>74</v>
      </c>
      <c r="BI802">
        <v>12</v>
      </c>
      <c r="BJ802" t="s">
        <v>204</v>
      </c>
      <c r="BK802" t="s">
        <v>97</v>
      </c>
      <c r="BL802" t="s">
        <v>204</v>
      </c>
      <c r="BM802" t="s">
        <v>13245</v>
      </c>
      <c r="BN802" t="s">
        <v>74</v>
      </c>
      <c r="BO802" t="s">
        <v>414</v>
      </c>
      <c r="BP802" t="s">
        <v>74</v>
      </c>
      <c r="BQ802" t="s">
        <v>74</v>
      </c>
      <c r="BR802" t="s">
        <v>100</v>
      </c>
      <c r="BS802" t="s">
        <v>13246</v>
      </c>
      <c r="BT802" t="str">
        <f>HYPERLINK("https%3A%2F%2Fwww.webofscience.com%2Fwos%2Fwoscc%2Ffull-record%2FWOS:000250219000002","View Full Record in Web of Science")</f>
        <v>View Full Record in Web of Science</v>
      </c>
    </row>
    <row r="803" spans="1:72" x14ac:dyDescent="0.15">
      <c r="A803" t="s">
        <v>72</v>
      </c>
      <c r="B803" t="s">
        <v>13247</v>
      </c>
      <c r="C803" t="s">
        <v>74</v>
      </c>
      <c r="D803" t="s">
        <v>74</v>
      </c>
      <c r="E803" t="s">
        <v>74</v>
      </c>
      <c r="F803" t="s">
        <v>13248</v>
      </c>
      <c r="G803" t="s">
        <v>74</v>
      </c>
      <c r="H803" t="s">
        <v>74</v>
      </c>
      <c r="I803" t="s">
        <v>13249</v>
      </c>
      <c r="J803" t="s">
        <v>184</v>
      </c>
      <c r="K803" t="s">
        <v>74</v>
      </c>
      <c r="L803" t="s">
        <v>74</v>
      </c>
      <c r="M803" t="s">
        <v>78</v>
      </c>
      <c r="N803" t="s">
        <v>79</v>
      </c>
      <c r="O803" t="s">
        <v>74</v>
      </c>
      <c r="P803" t="s">
        <v>74</v>
      </c>
      <c r="Q803" t="s">
        <v>74</v>
      </c>
      <c r="R803" t="s">
        <v>74</v>
      </c>
      <c r="S803" t="s">
        <v>74</v>
      </c>
      <c r="T803" t="s">
        <v>74</v>
      </c>
      <c r="U803" t="s">
        <v>13250</v>
      </c>
      <c r="V803" t="s">
        <v>13251</v>
      </c>
      <c r="W803" t="s">
        <v>13252</v>
      </c>
      <c r="X803" t="s">
        <v>2624</v>
      </c>
      <c r="Y803" t="s">
        <v>13253</v>
      </c>
      <c r="Z803" t="s">
        <v>13254</v>
      </c>
      <c r="AA803" t="s">
        <v>13255</v>
      </c>
      <c r="AB803" t="s">
        <v>13256</v>
      </c>
      <c r="AC803" t="s">
        <v>74</v>
      </c>
      <c r="AD803" t="s">
        <v>74</v>
      </c>
      <c r="AE803" t="s">
        <v>74</v>
      </c>
      <c r="AF803" t="s">
        <v>74</v>
      </c>
      <c r="AG803">
        <v>24</v>
      </c>
      <c r="AH803">
        <v>21</v>
      </c>
      <c r="AI803">
        <v>23</v>
      </c>
      <c r="AJ803">
        <v>0</v>
      </c>
      <c r="AK803">
        <v>11</v>
      </c>
      <c r="AL803" t="s">
        <v>193</v>
      </c>
      <c r="AM803" t="s">
        <v>194</v>
      </c>
      <c r="AN803" t="s">
        <v>195</v>
      </c>
      <c r="AO803" t="s">
        <v>196</v>
      </c>
      <c r="AP803" t="s">
        <v>197</v>
      </c>
      <c r="AQ803" t="s">
        <v>74</v>
      </c>
      <c r="AR803" t="s">
        <v>198</v>
      </c>
      <c r="AS803" t="s">
        <v>199</v>
      </c>
      <c r="AT803" t="s">
        <v>13257</v>
      </c>
      <c r="AU803">
        <v>2007</v>
      </c>
      <c r="AV803">
        <v>112</v>
      </c>
      <c r="AW803" t="s">
        <v>13228</v>
      </c>
      <c r="AX803" t="s">
        <v>74</v>
      </c>
      <c r="AY803" t="s">
        <v>74</v>
      </c>
      <c r="AZ803" t="s">
        <v>74</v>
      </c>
      <c r="BA803" t="s">
        <v>74</v>
      </c>
      <c r="BB803" t="s">
        <v>74</v>
      </c>
      <c r="BC803" t="s">
        <v>74</v>
      </c>
      <c r="BD803" t="s">
        <v>13258</v>
      </c>
      <c r="BE803" t="s">
        <v>13259</v>
      </c>
      <c r="BF803" t="str">
        <f>HYPERLINK("http://dx.doi.org/10.1029/2007JD008541","http://dx.doi.org/10.1029/2007JD008541")</f>
        <v>http://dx.doi.org/10.1029/2007JD008541</v>
      </c>
      <c r="BG803" t="s">
        <v>74</v>
      </c>
      <c r="BH803" t="s">
        <v>74</v>
      </c>
      <c r="BI803">
        <v>11</v>
      </c>
      <c r="BJ803" t="s">
        <v>204</v>
      </c>
      <c r="BK803" t="s">
        <v>97</v>
      </c>
      <c r="BL803" t="s">
        <v>204</v>
      </c>
      <c r="BM803" t="s">
        <v>13260</v>
      </c>
      <c r="BN803" t="s">
        <v>74</v>
      </c>
      <c r="BO803" t="s">
        <v>179</v>
      </c>
      <c r="BP803" t="s">
        <v>74</v>
      </c>
      <c r="BQ803" t="s">
        <v>74</v>
      </c>
      <c r="BR803" t="s">
        <v>100</v>
      </c>
      <c r="BS803" t="s">
        <v>13261</v>
      </c>
      <c r="BT803" t="str">
        <f>HYPERLINK("https%3A%2F%2Fwww.webofscience.com%2Fwos%2Fwoscc%2Ffull-record%2FWOS:000250218900004","View Full Record in Web of Science")</f>
        <v>View Full Record in Web of Science</v>
      </c>
    </row>
    <row r="804" spans="1:72" x14ac:dyDescent="0.15">
      <c r="A804" t="s">
        <v>72</v>
      </c>
      <c r="B804" t="s">
        <v>13262</v>
      </c>
      <c r="C804" t="s">
        <v>74</v>
      </c>
      <c r="D804" t="s">
        <v>74</v>
      </c>
      <c r="E804" t="s">
        <v>74</v>
      </c>
      <c r="F804" t="s">
        <v>13263</v>
      </c>
      <c r="G804" t="s">
        <v>74</v>
      </c>
      <c r="H804" t="s">
        <v>74</v>
      </c>
      <c r="I804" t="s">
        <v>13264</v>
      </c>
      <c r="J804" t="s">
        <v>11486</v>
      </c>
      <c r="K804" t="s">
        <v>74</v>
      </c>
      <c r="L804" t="s">
        <v>74</v>
      </c>
      <c r="M804" t="s">
        <v>78</v>
      </c>
      <c r="N804" t="s">
        <v>79</v>
      </c>
      <c r="O804" t="s">
        <v>74</v>
      </c>
      <c r="P804" t="s">
        <v>74</v>
      </c>
      <c r="Q804" t="s">
        <v>74</v>
      </c>
      <c r="R804" t="s">
        <v>74</v>
      </c>
      <c r="S804" t="s">
        <v>74</v>
      </c>
      <c r="T804" t="s">
        <v>13265</v>
      </c>
      <c r="U804" t="s">
        <v>74</v>
      </c>
      <c r="V804" t="s">
        <v>13266</v>
      </c>
      <c r="W804" t="s">
        <v>13267</v>
      </c>
      <c r="X804" t="s">
        <v>13268</v>
      </c>
      <c r="Y804" t="s">
        <v>13269</v>
      </c>
      <c r="Z804" t="s">
        <v>13270</v>
      </c>
      <c r="AA804" t="s">
        <v>13271</v>
      </c>
      <c r="AB804" t="s">
        <v>13272</v>
      </c>
      <c r="AC804" t="s">
        <v>74</v>
      </c>
      <c r="AD804" t="s">
        <v>74</v>
      </c>
      <c r="AE804" t="s">
        <v>74</v>
      </c>
      <c r="AF804" t="s">
        <v>74</v>
      </c>
      <c r="AG804">
        <v>5</v>
      </c>
      <c r="AH804">
        <v>6</v>
      </c>
      <c r="AI804">
        <v>6</v>
      </c>
      <c r="AJ804">
        <v>0</v>
      </c>
      <c r="AK804">
        <v>0</v>
      </c>
      <c r="AL804" t="s">
        <v>6777</v>
      </c>
      <c r="AM804" t="s">
        <v>6778</v>
      </c>
      <c r="AN804" t="s">
        <v>11492</v>
      </c>
      <c r="AO804" t="s">
        <v>11493</v>
      </c>
      <c r="AP804" t="s">
        <v>11494</v>
      </c>
      <c r="AQ804" t="s">
        <v>74</v>
      </c>
      <c r="AR804" t="s">
        <v>11486</v>
      </c>
      <c r="AS804" t="s">
        <v>11495</v>
      </c>
      <c r="AT804" t="s">
        <v>13257</v>
      </c>
      <c r="AU804">
        <v>2007</v>
      </c>
      <c r="AV804" t="s">
        <v>74</v>
      </c>
      <c r="AW804">
        <v>1612</v>
      </c>
      <c r="AX804" t="s">
        <v>74</v>
      </c>
      <c r="AY804" t="s">
        <v>74</v>
      </c>
      <c r="AZ804" t="s">
        <v>74</v>
      </c>
      <c r="BA804" t="s">
        <v>74</v>
      </c>
      <c r="BB804">
        <v>63</v>
      </c>
      <c r="BC804">
        <v>68</v>
      </c>
      <c r="BD804" t="s">
        <v>74</v>
      </c>
      <c r="BE804" t="s">
        <v>13273</v>
      </c>
      <c r="BF804" t="str">
        <f>HYPERLINK("http://dx.doi.org/10.11646/zootaxa.1612.1.5","http://dx.doi.org/10.11646/zootaxa.1612.1.5")</f>
        <v>http://dx.doi.org/10.11646/zootaxa.1612.1.5</v>
      </c>
      <c r="BG804" t="s">
        <v>74</v>
      </c>
      <c r="BH804" t="s">
        <v>74</v>
      </c>
      <c r="BI804">
        <v>6</v>
      </c>
      <c r="BJ804" t="s">
        <v>4825</v>
      </c>
      <c r="BK804" t="s">
        <v>97</v>
      </c>
      <c r="BL804" t="s">
        <v>4825</v>
      </c>
      <c r="BM804" t="s">
        <v>13274</v>
      </c>
      <c r="BN804" t="s">
        <v>74</v>
      </c>
      <c r="BO804" t="s">
        <v>74</v>
      </c>
      <c r="BP804" t="s">
        <v>74</v>
      </c>
      <c r="BQ804" t="s">
        <v>74</v>
      </c>
      <c r="BR804" t="s">
        <v>100</v>
      </c>
      <c r="BS804" t="s">
        <v>13275</v>
      </c>
      <c r="BT804" t="str">
        <f>HYPERLINK("https%3A%2F%2Fwww.webofscience.com%2Fwos%2Fwoscc%2Ffull-record%2FWOS:000250038100005","View Full Record in Web of Science")</f>
        <v>View Full Record in Web of Science</v>
      </c>
    </row>
    <row r="805" spans="1:72" x14ac:dyDescent="0.15">
      <c r="A805" t="s">
        <v>72</v>
      </c>
      <c r="B805" t="s">
        <v>13276</v>
      </c>
      <c r="C805" t="s">
        <v>74</v>
      </c>
      <c r="D805" t="s">
        <v>74</v>
      </c>
      <c r="E805" t="s">
        <v>74</v>
      </c>
      <c r="F805" t="s">
        <v>13277</v>
      </c>
      <c r="G805" t="s">
        <v>74</v>
      </c>
      <c r="H805" t="s">
        <v>74</v>
      </c>
      <c r="I805" t="s">
        <v>13278</v>
      </c>
      <c r="J805" t="s">
        <v>11486</v>
      </c>
      <c r="K805" t="s">
        <v>74</v>
      </c>
      <c r="L805" t="s">
        <v>74</v>
      </c>
      <c r="M805" t="s">
        <v>78</v>
      </c>
      <c r="N805" t="s">
        <v>79</v>
      </c>
      <c r="O805" t="s">
        <v>74</v>
      </c>
      <c r="P805" t="s">
        <v>74</v>
      </c>
      <c r="Q805" t="s">
        <v>74</v>
      </c>
      <c r="R805" t="s">
        <v>74</v>
      </c>
      <c r="S805" t="s">
        <v>74</v>
      </c>
      <c r="T805" t="s">
        <v>13279</v>
      </c>
      <c r="U805" t="s">
        <v>13280</v>
      </c>
      <c r="V805" t="s">
        <v>13281</v>
      </c>
      <c r="W805" t="s">
        <v>13282</v>
      </c>
      <c r="X805" t="s">
        <v>13283</v>
      </c>
      <c r="Y805" t="s">
        <v>13284</v>
      </c>
      <c r="Z805" t="s">
        <v>13285</v>
      </c>
      <c r="AA805" t="s">
        <v>13286</v>
      </c>
      <c r="AB805" t="s">
        <v>13287</v>
      </c>
      <c r="AC805" t="s">
        <v>74</v>
      </c>
      <c r="AD805" t="s">
        <v>74</v>
      </c>
      <c r="AE805" t="s">
        <v>74</v>
      </c>
      <c r="AF805" t="s">
        <v>74</v>
      </c>
      <c r="AG805">
        <v>25</v>
      </c>
      <c r="AH805">
        <v>10</v>
      </c>
      <c r="AI805">
        <v>12</v>
      </c>
      <c r="AJ805">
        <v>0</v>
      </c>
      <c r="AK805">
        <v>4</v>
      </c>
      <c r="AL805" t="s">
        <v>6777</v>
      </c>
      <c r="AM805" t="s">
        <v>6778</v>
      </c>
      <c r="AN805" t="s">
        <v>11492</v>
      </c>
      <c r="AO805" t="s">
        <v>11493</v>
      </c>
      <c r="AP805" t="s">
        <v>11494</v>
      </c>
      <c r="AQ805" t="s">
        <v>74</v>
      </c>
      <c r="AR805" t="s">
        <v>11486</v>
      </c>
      <c r="AS805" t="s">
        <v>11495</v>
      </c>
      <c r="AT805" t="s">
        <v>13288</v>
      </c>
      <c r="AU805">
        <v>2007</v>
      </c>
      <c r="AV805" t="s">
        <v>74</v>
      </c>
      <c r="AW805">
        <v>1610</v>
      </c>
      <c r="AX805" t="s">
        <v>74</v>
      </c>
      <c r="AY805" t="s">
        <v>74</v>
      </c>
      <c r="AZ805" t="s">
        <v>74</v>
      </c>
      <c r="BA805" t="s">
        <v>74</v>
      </c>
      <c r="BB805">
        <v>1</v>
      </c>
      <c r="BC805">
        <v>25</v>
      </c>
      <c r="BD805" t="s">
        <v>74</v>
      </c>
      <c r="BE805" t="s">
        <v>74</v>
      </c>
      <c r="BF805" t="s">
        <v>74</v>
      </c>
      <c r="BG805" t="s">
        <v>74</v>
      </c>
      <c r="BH805" t="s">
        <v>74</v>
      </c>
      <c r="BI805">
        <v>25</v>
      </c>
      <c r="BJ805" t="s">
        <v>4825</v>
      </c>
      <c r="BK805" t="s">
        <v>97</v>
      </c>
      <c r="BL805" t="s">
        <v>4825</v>
      </c>
      <c r="BM805" t="s">
        <v>13289</v>
      </c>
      <c r="BN805" t="s">
        <v>74</v>
      </c>
      <c r="BO805" t="s">
        <v>74</v>
      </c>
      <c r="BP805" t="s">
        <v>74</v>
      </c>
      <c r="BQ805" t="s">
        <v>74</v>
      </c>
      <c r="BR805" t="s">
        <v>100</v>
      </c>
      <c r="BS805" t="s">
        <v>13290</v>
      </c>
      <c r="BT805" t="str">
        <f>HYPERLINK("https%3A%2F%2Fwww.webofscience.com%2Fwos%2Fwoscc%2Ffull-record%2FWOS:000250037900001","View Full Record in Web of Science")</f>
        <v>View Full Record in Web of Science</v>
      </c>
    </row>
    <row r="806" spans="1:72" x14ac:dyDescent="0.15">
      <c r="A806" t="s">
        <v>72</v>
      </c>
      <c r="B806" t="s">
        <v>13291</v>
      </c>
      <c r="C806" t="s">
        <v>74</v>
      </c>
      <c r="D806" t="s">
        <v>74</v>
      </c>
      <c r="E806" t="s">
        <v>74</v>
      </c>
      <c r="F806" t="s">
        <v>13292</v>
      </c>
      <c r="G806" t="s">
        <v>74</v>
      </c>
      <c r="H806" t="s">
        <v>74</v>
      </c>
      <c r="I806" t="s">
        <v>13293</v>
      </c>
      <c r="J806" t="s">
        <v>676</v>
      </c>
      <c r="K806" t="s">
        <v>74</v>
      </c>
      <c r="L806" t="s">
        <v>74</v>
      </c>
      <c r="M806" t="s">
        <v>78</v>
      </c>
      <c r="N806" t="s">
        <v>2891</v>
      </c>
      <c r="O806" t="s">
        <v>74</v>
      </c>
      <c r="P806" t="s">
        <v>74</v>
      </c>
      <c r="Q806" t="s">
        <v>74</v>
      </c>
      <c r="R806" t="s">
        <v>74</v>
      </c>
      <c r="S806" t="s">
        <v>74</v>
      </c>
      <c r="T806" t="s">
        <v>74</v>
      </c>
      <c r="U806" t="s">
        <v>74</v>
      </c>
      <c r="V806" t="s">
        <v>74</v>
      </c>
      <c r="W806" t="s">
        <v>74</v>
      </c>
      <c r="X806" t="s">
        <v>74</v>
      </c>
      <c r="Y806" t="s">
        <v>74</v>
      </c>
      <c r="Z806" t="s">
        <v>74</v>
      </c>
      <c r="AA806" t="s">
        <v>13294</v>
      </c>
      <c r="AB806" t="s">
        <v>13295</v>
      </c>
      <c r="AC806" t="s">
        <v>74</v>
      </c>
      <c r="AD806" t="s">
        <v>74</v>
      </c>
      <c r="AE806" t="s">
        <v>74</v>
      </c>
      <c r="AF806" t="s">
        <v>74</v>
      </c>
      <c r="AG806">
        <v>0</v>
      </c>
      <c r="AH806">
        <v>0</v>
      </c>
      <c r="AI806">
        <v>0</v>
      </c>
      <c r="AJ806">
        <v>0</v>
      </c>
      <c r="AK806">
        <v>0</v>
      </c>
      <c r="AL806" t="s">
        <v>677</v>
      </c>
      <c r="AM806" t="s">
        <v>678</v>
      </c>
      <c r="AN806" t="s">
        <v>679</v>
      </c>
      <c r="AO806" t="s">
        <v>680</v>
      </c>
      <c r="AP806" t="s">
        <v>74</v>
      </c>
      <c r="AQ806" t="s">
        <v>74</v>
      </c>
      <c r="AR806" t="s">
        <v>681</v>
      </c>
      <c r="AS806" t="s">
        <v>682</v>
      </c>
      <c r="AT806" t="s">
        <v>13296</v>
      </c>
      <c r="AU806">
        <v>2007</v>
      </c>
      <c r="AV806">
        <v>195</v>
      </c>
      <c r="AW806">
        <v>2624</v>
      </c>
      <c r="AX806" t="s">
        <v>74</v>
      </c>
      <c r="AY806" t="s">
        <v>74</v>
      </c>
      <c r="AZ806" t="s">
        <v>74</v>
      </c>
      <c r="BA806" t="s">
        <v>74</v>
      </c>
      <c r="BB806">
        <v>26</v>
      </c>
      <c r="BC806">
        <v>26</v>
      </c>
      <c r="BD806" t="s">
        <v>74</v>
      </c>
      <c r="BE806" t="s">
        <v>74</v>
      </c>
      <c r="BF806" t="s">
        <v>74</v>
      </c>
      <c r="BG806" t="s">
        <v>74</v>
      </c>
      <c r="BH806" t="s">
        <v>74</v>
      </c>
      <c r="BI806">
        <v>1</v>
      </c>
      <c r="BJ806" t="s">
        <v>684</v>
      </c>
      <c r="BK806" t="s">
        <v>97</v>
      </c>
      <c r="BL806" t="s">
        <v>685</v>
      </c>
      <c r="BM806" t="s">
        <v>13297</v>
      </c>
      <c r="BN806" t="s">
        <v>74</v>
      </c>
      <c r="BO806" t="s">
        <v>74</v>
      </c>
      <c r="BP806" t="s">
        <v>74</v>
      </c>
      <c r="BQ806" t="s">
        <v>74</v>
      </c>
      <c r="BR806" t="s">
        <v>100</v>
      </c>
      <c r="BS806" t="s">
        <v>13298</v>
      </c>
      <c r="BT806" t="str">
        <f>HYPERLINK("https%3A%2F%2Fwww.webofscience.com%2Fwos%2Fwoscc%2Ffull-record%2FWOS:000250077200014","View Full Record in Web of Science")</f>
        <v>View Full Record in Web of Science</v>
      </c>
    </row>
    <row r="807" spans="1:72" x14ac:dyDescent="0.15">
      <c r="A807" t="s">
        <v>72</v>
      </c>
      <c r="B807" t="s">
        <v>13299</v>
      </c>
      <c r="C807" t="s">
        <v>74</v>
      </c>
      <c r="D807" t="s">
        <v>74</v>
      </c>
      <c r="E807" t="s">
        <v>74</v>
      </c>
      <c r="F807" t="s">
        <v>13300</v>
      </c>
      <c r="G807" t="s">
        <v>74</v>
      </c>
      <c r="H807" t="s">
        <v>74</v>
      </c>
      <c r="I807" t="s">
        <v>13301</v>
      </c>
      <c r="J807" t="s">
        <v>233</v>
      </c>
      <c r="K807" t="s">
        <v>74</v>
      </c>
      <c r="L807" t="s">
        <v>74</v>
      </c>
      <c r="M807" t="s">
        <v>78</v>
      </c>
      <c r="N807" t="s">
        <v>79</v>
      </c>
      <c r="O807" t="s">
        <v>74</v>
      </c>
      <c r="P807" t="s">
        <v>74</v>
      </c>
      <c r="Q807" t="s">
        <v>74</v>
      </c>
      <c r="R807" t="s">
        <v>74</v>
      </c>
      <c r="S807" t="s">
        <v>74</v>
      </c>
      <c r="T807" t="s">
        <v>74</v>
      </c>
      <c r="U807" t="s">
        <v>13302</v>
      </c>
      <c r="V807" t="s">
        <v>13303</v>
      </c>
      <c r="W807" t="s">
        <v>13304</v>
      </c>
      <c r="X807" t="s">
        <v>13305</v>
      </c>
      <c r="Y807" t="s">
        <v>13306</v>
      </c>
      <c r="Z807" t="s">
        <v>74</v>
      </c>
      <c r="AA807" t="s">
        <v>13307</v>
      </c>
      <c r="AB807" t="s">
        <v>13308</v>
      </c>
      <c r="AC807" t="s">
        <v>74</v>
      </c>
      <c r="AD807" t="s">
        <v>74</v>
      </c>
      <c r="AE807" t="s">
        <v>74</v>
      </c>
      <c r="AF807" t="s">
        <v>74</v>
      </c>
      <c r="AG807">
        <v>26</v>
      </c>
      <c r="AH807">
        <v>18</v>
      </c>
      <c r="AI807">
        <v>19</v>
      </c>
      <c r="AJ807">
        <v>1</v>
      </c>
      <c r="AK807">
        <v>4</v>
      </c>
      <c r="AL807" t="s">
        <v>193</v>
      </c>
      <c r="AM807" t="s">
        <v>194</v>
      </c>
      <c r="AN807" t="s">
        <v>195</v>
      </c>
      <c r="AO807" t="s">
        <v>243</v>
      </c>
      <c r="AP807" t="s">
        <v>326</v>
      </c>
      <c r="AQ807" t="s">
        <v>74</v>
      </c>
      <c r="AR807" t="s">
        <v>244</v>
      </c>
      <c r="AS807" t="s">
        <v>245</v>
      </c>
      <c r="AT807" t="s">
        <v>13309</v>
      </c>
      <c r="AU807">
        <v>2007</v>
      </c>
      <c r="AV807">
        <v>34</v>
      </c>
      <c r="AW807">
        <v>19</v>
      </c>
      <c r="AX807" t="s">
        <v>74</v>
      </c>
      <c r="AY807" t="s">
        <v>74</v>
      </c>
      <c r="AZ807" t="s">
        <v>74</v>
      </c>
      <c r="BA807" t="s">
        <v>74</v>
      </c>
      <c r="BB807" t="s">
        <v>74</v>
      </c>
      <c r="BC807" t="s">
        <v>74</v>
      </c>
      <c r="BD807" t="s">
        <v>13310</v>
      </c>
      <c r="BE807" t="s">
        <v>13311</v>
      </c>
      <c r="BF807" t="str">
        <f>HYPERLINK("http://dx.doi.org/10.1029/2006GL028547","http://dx.doi.org/10.1029/2006GL028547")</f>
        <v>http://dx.doi.org/10.1029/2006GL028547</v>
      </c>
      <c r="BG807" t="s">
        <v>74</v>
      </c>
      <c r="BH807" t="s">
        <v>74</v>
      </c>
      <c r="BI807">
        <v>5</v>
      </c>
      <c r="BJ807" t="s">
        <v>96</v>
      </c>
      <c r="BK807" t="s">
        <v>97</v>
      </c>
      <c r="BL807" t="s">
        <v>98</v>
      </c>
      <c r="BM807" t="s">
        <v>13312</v>
      </c>
      <c r="BN807" t="s">
        <v>74</v>
      </c>
      <c r="BO807" t="s">
        <v>179</v>
      </c>
      <c r="BP807" t="s">
        <v>74</v>
      </c>
      <c r="BQ807" t="s">
        <v>74</v>
      </c>
      <c r="BR807" t="s">
        <v>100</v>
      </c>
      <c r="BS807" t="s">
        <v>13313</v>
      </c>
      <c r="BT807" t="str">
        <f>HYPERLINK("https%3A%2F%2Fwww.webofscience.com%2Fwos%2Fwoscc%2Ffull-record%2FWOS:000250045500001","View Full Record in Web of Science")</f>
        <v>View Full Record in Web of Science</v>
      </c>
    </row>
    <row r="808" spans="1:72" x14ac:dyDescent="0.15">
      <c r="A808" t="s">
        <v>72</v>
      </c>
      <c r="B808" t="s">
        <v>13314</v>
      </c>
      <c r="C808" t="s">
        <v>74</v>
      </c>
      <c r="D808" t="s">
        <v>74</v>
      </c>
      <c r="E808" t="s">
        <v>74</v>
      </c>
      <c r="F808" t="s">
        <v>13315</v>
      </c>
      <c r="G808" t="s">
        <v>74</v>
      </c>
      <c r="H808" t="s">
        <v>74</v>
      </c>
      <c r="I808" t="s">
        <v>13316</v>
      </c>
      <c r="J808" t="s">
        <v>730</v>
      </c>
      <c r="K808" t="s">
        <v>74</v>
      </c>
      <c r="L808" t="s">
        <v>74</v>
      </c>
      <c r="M808" t="s">
        <v>78</v>
      </c>
      <c r="N808" t="s">
        <v>79</v>
      </c>
      <c r="O808" t="s">
        <v>74</v>
      </c>
      <c r="P808" t="s">
        <v>74</v>
      </c>
      <c r="Q808" t="s">
        <v>74</v>
      </c>
      <c r="R808" t="s">
        <v>74</v>
      </c>
      <c r="S808" t="s">
        <v>74</v>
      </c>
      <c r="T808" t="s">
        <v>74</v>
      </c>
      <c r="U808" t="s">
        <v>13317</v>
      </c>
      <c r="V808" t="s">
        <v>13318</v>
      </c>
      <c r="W808" t="s">
        <v>13319</v>
      </c>
      <c r="X808" t="s">
        <v>13320</v>
      </c>
      <c r="Y808" t="s">
        <v>13321</v>
      </c>
      <c r="Z808" t="s">
        <v>13322</v>
      </c>
      <c r="AA808" t="s">
        <v>74</v>
      </c>
      <c r="AB808" t="s">
        <v>13323</v>
      </c>
      <c r="AC808" t="s">
        <v>74</v>
      </c>
      <c r="AD808" t="s">
        <v>74</v>
      </c>
      <c r="AE808" t="s">
        <v>74</v>
      </c>
      <c r="AF808" t="s">
        <v>74</v>
      </c>
      <c r="AG808">
        <v>64</v>
      </c>
      <c r="AH808">
        <v>7</v>
      </c>
      <c r="AI808">
        <v>10</v>
      </c>
      <c r="AJ808">
        <v>0</v>
      </c>
      <c r="AK808">
        <v>4</v>
      </c>
      <c r="AL808" t="s">
        <v>193</v>
      </c>
      <c r="AM808" t="s">
        <v>194</v>
      </c>
      <c r="AN808" t="s">
        <v>195</v>
      </c>
      <c r="AO808" t="s">
        <v>739</v>
      </c>
      <c r="AP808" t="s">
        <v>740</v>
      </c>
      <c r="AQ808" t="s">
        <v>74</v>
      </c>
      <c r="AR808" t="s">
        <v>741</v>
      </c>
      <c r="AS808" t="s">
        <v>742</v>
      </c>
      <c r="AT808" t="s">
        <v>13309</v>
      </c>
      <c r="AU808">
        <v>2007</v>
      </c>
      <c r="AV808">
        <v>112</v>
      </c>
      <c r="AW808" t="s">
        <v>13324</v>
      </c>
      <c r="AX808" t="s">
        <v>74</v>
      </c>
      <c r="AY808" t="s">
        <v>74</v>
      </c>
      <c r="AZ808" t="s">
        <v>74</v>
      </c>
      <c r="BA808" t="s">
        <v>74</v>
      </c>
      <c r="BB808" t="s">
        <v>74</v>
      </c>
      <c r="BC808" t="s">
        <v>74</v>
      </c>
      <c r="BD808" t="s">
        <v>13325</v>
      </c>
      <c r="BE808" t="s">
        <v>13326</v>
      </c>
      <c r="BF808" t="str">
        <f>HYPERLINK("http://dx.doi.org/10.1029/2006JB004578","http://dx.doi.org/10.1029/2006JB004578")</f>
        <v>http://dx.doi.org/10.1029/2006JB004578</v>
      </c>
      <c r="BG808" t="s">
        <v>74</v>
      </c>
      <c r="BH808" t="s">
        <v>74</v>
      </c>
      <c r="BI808">
        <v>17</v>
      </c>
      <c r="BJ808" t="s">
        <v>553</v>
      </c>
      <c r="BK808" t="s">
        <v>97</v>
      </c>
      <c r="BL808" t="s">
        <v>553</v>
      </c>
      <c r="BM808" t="s">
        <v>13327</v>
      </c>
      <c r="BN808" t="s">
        <v>74</v>
      </c>
      <c r="BO808" t="s">
        <v>313</v>
      </c>
      <c r="BP808" t="s">
        <v>74</v>
      </c>
      <c r="BQ808" t="s">
        <v>74</v>
      </c>
      <c r="BR808" t="s">
        <v>100</v>
      </c>
      <c r="BS808" t="s">
        <v>13328</v>
      </c>
      <c r="BT808" t="str">
        <f>HYPERLINK("https%3A%2F%2Fwww.webofscience.com%2Fwos%2Fwoscc%2Ffull-record%2FWOS:000250047400002","View Full Record in Web of Science")</f>
        <v>View Full Record in Web of Science</v>
      </c>
    </row>
    <row r="809" spans="1:72" x14ac:dyDescent="0.15">
      <c r="A809" t="s">
        <v>72</v>
      </c>
      <c r="B809" t="s">
        <v>13329</v>
      </c>
      <c r="C809" t="s">
        <v>74</v>
      </c>
      <c r="D809" t="s">
        <v>74</v>
      </c>
      <c r="E809" t="s">
        <v>74</v>
      </c>
      <c r="F809" t="s">
        <v>13330</v>
      </c>
      <c r="G809" t="s">
        <v>74</v>
      </c>
      <c r="H809" t="s">
        <v>74</v>
      </c>
      <c r="I809" t="s">
        <v>13331</v>
      </c>
      <c r="J809" t="s">
        <v>691</v>
      </c>
      <c r="K809" t="s">
        <v>74</v>
      </c>
      <c r="L809" t="s">
        <v>74</v>
      </c>
      <c r="M809" t="s">
        <v>78</v>
      </c>
      <c r="N809" t="s">
        <v>79</v>
      </c>
      <c r="O809" t="s">
        <v>74</v>
      </c>
      <c r="P809" t="s">
        <v>74</v>
      </c>
      <c r="Q809" t="s">
        <v>74</v>
      </c>
      <c r="R809" t="s">
        <v>74</v>
      </c>
      <c r="S809" t="s">
        <v>74</v>
      </c>
      <c r="T809" t="s">
        <v>74</v>
      </c>
      <c r="U809" t="s">
        <v>13332</v>
      </c>
      <c r="V809" t="s">
        <v>13333</v>
      </c>
      <c r="W809" t="s">
        <v>13334</v>
      </c>
      <c r="X809" t="s">
        <v>13335</v>
      </c>
      <c r="Y809" t="s">
        <v>13336</v>
      </c>
      <c r="Z809" t="s">
        <v>13337</v>
      </c>
      <c r="AA809" t="s">
        <v>13338</v>
      </c>
      <c r="AB809" t="s">
        <v>13339</v>
      </c>
      <c r="AC809" t="s">
        <v>74</v>
      </c>
      <c r="AD809" t="s">
        <v>74</v>
      </c>
      <c r="AE809" t="s">
        <v>74</v>
      </c>
      <c r="AF809" t="s">
        <v>74</v>
      </c>
      <c r="AG809">
        <v>32</v>
      </c>
      <c r="AH809">
        <v>237</v>
      </c>
      <c r="AI809">
        <v>260</v>
      </c>
      <c r="AJ809">
        <v>1</v>
      </c>
      <c r="AK809">
        <v>48</v>
      </c>
      <c r="AL809" t="s">
        <v>694</v>
      </c>
      <c r="AM809" t="s">
        <v>194</v>
      </c>
      <c r="AN809" t="s">
        <v>695</v>
      </c>
      <c r="AO809" t="s">
        <v>696</v>
      </c>
      <c r="AP809" t="s">
        <v>712</v>
      </c>
      <c r="AQ809" t="s">
        <v>74</v>
      </c>
      <c r="AR809" t="s">
        <v>691</v>
      </c>
      <c r="AS809" t="s">
        <v>697</v>
      </c>
      <c r="AT809" t="s">
        <v>13309</v>
      </c>
      <c r="AU809">
        <v>2007</v>
      </c>
      <c r="AV809">
        <v>318</v>
      </c>
      <c r="AW809">
        <v>5847</v>
      </c>
      <c r="AX809" t="s">
        <v>74</v>
      </c>
      <c r="AY809" t="s">
        <v>74</v>
      </c>
      <c r="AZ809" t="s">
        <v>74</v>
      </c>
      <c r="BA809" t="s">
        <v>74</v>
      </c>
      <c r="BB809">
        <v>83</v>
      </c>
      <c r="BC809">
        <v>86</v>
      </c>
      <c r="BD809" t="s">
        <v>74</v>
      </c>
      <c r="BE809" t="s">
        <v>13340</v>
      </c>
      <c r="BF809" t="str">
        <f>HYPERLINK("http://dx.doi.org/10.1126/science.1143769","http://dx.doi.org/10.1126/science.1143769")</f>
        <v>http://dx.doi.org/10.1126/science.1143769</v>
      </c>
      <c r="BG809" t="s">
        <v>74</v>
      </c>
      <c r="BH809" t="s">
        <v>74</v>
      </c>
      <c r="BI809">
        <v>4</v>
      </c>
      <c r="BJ809" t="s">
        <v>684</v>
      </c>
      <c r="BK809" t="s">
        <v>97</v>
      </c>
      <c r="BL809" t="s">
        <v>685</v>
      </c>
      <c r="BM809" t="s">
        <v>13341</v>
      </c>
      <c r="BN809">
        <v>17916729</v>
      </c>
      <c r="BO809" t="s">
        <v>74</v>
      </c>
      <c r="BP809" t="s">
        <v>74</v>
      </c>
      <c r="BQ809" t="s">
        <v>74</v>
      </c>
      <c r="BR809" t="s">
        <v>100</v>
      </c>
      <c r="BS809" t="s">
        <v>13342</v>
      </c>
      <c r="BT809" t="str">
        <f>HYPERLINK("https%3A%2F%2Fwww.webofscience.com%2Fwos%2Fwoscc%2Ffull-record%2FWOS:000249915400044","View Full Record in Web of Science")</f>
        <v>View Full Record in Web of Science</v>
      </c>
    </row>
    <row r="810" spans="1:72" x14ac:dyDescent="0.15">
      <c r="A810" t="s">
        <v>72</v>
      </c>
      <c r="B810" t="s">
        <v>13343</v>
      </c>
      <c r="C810" t="s">
        <v>74</v>
      </c>
      <c r="D810" t="s">
        <v>74</v>
      </c>
      <c r="E810" t="s">
        <v>74</v>
      </c>
      <c r="F810" t="s">
        <v>13344</v>
      </c>
      <c r="G810" t="s">
        <v>74</v>
      </c>
      <c r="H810" t="s">
        <v>74</v>
      </c>
      <c r="I810" t="s">
        <v>13345</v>
      </c>
      <c r="J810" t="s">
        <v>233</v>
      </c>
      <c r="K810" t="s">
        <v>74</v>
      </c>
      <c r="L810" t="s">
        <v>74</v>
      </c>
      <c r="M810" t="s">
        <v>78</v>
      </c>
      <c r="N810" t="s">
        <v>79</v>
      </c>
      <c r="O810" t="s">
        <v>74</v>
      </c>
      <c r="P810" t="s">
        <v>74</v>
      </c>
      <c r="Q810" t="s">
        <v>74</v>
      </c>
      <c r="R810" t="s">
        <v>74</v>
      </c>
      <c r="S810" t="s">
        <v>74</v>
      </c>
      <c r="T810" t="s">
        <v>74</v>
      </c>
      <c r="U810" t="s">
        <v>13346</v>
      </c>
      <c r="V810" t="s">
        <v>13347</v>
      </c>
      <c r="W810" t="s">
        <v>13348</v>
      </c>
      <c r="X810" t="s">
        <v>2381</v>
      </c>
      <c r="Y810" t="s">
        <v>13349</v>
      </c>
      <c r="Z810" t="s">
        <v>13350</v>
      </c>
      <c r="AA810" t="s">
        <v>13351</v>
      </c>
      <c r="AB810" t="s">
        <v>13352</v>
      </c>
      <c r="AC810" t="s">
        <v>74</v>
      </c>
      <c r="AD810" t="s">
        <v>74</v>
      </c>
      <c r="AE810" t="s">
        <v>74</v>
      </c>
      <c r="AF810" t="s">
        <v>74</v>
      </c>
      <c r="AG810">
        <v>20</v>
      </c>
      <c r="AH810">
        <v>62</v>
      </c>
      <c r="AI810">
        <v>68</v>
      </c>
      <c r="AJ810">
        <v>0</v>
      </c>
      <c r="AK810">
        <v>15</v>
      </c>
      <c r="AL810" t="s">
        <v>193</v>
      </c>
      <c r="AM810" t="s">
        <v>194</v>
      </c>
      <c r="AN810" t="s">
        <v>195</v>
      </c>
      <c r="AO810" t="s">
        <v>243</v>
      </c>
      <c r="AP810" t="s">
        <v>74</v>
      </c>
      <c r="AQ810" t="s">
        <v>74</v>
      </c>
      <c r="AR810" t="s">
        <v>244</v>
      </c>
      <c r="AS810" t="s">
        <v>245</v>
      </c>
      <c r="AT810" t="s">
        <v>13353</v>
      </c>
      <c r="AU810">
        <v>2007</v>
      </c>
      <c r="AV810">
        <v>34</v>
      </c>
      <c r="AW810">
        <v>19</v>
      </c>
      <c r="AX810" t="s">
        <v>74</v>
      </c>
      <c r="AY810" t="s">
        <v>74</v>
      </c>
      <c r="AZ810" t="s">
        <v>74</v>
      </c>
      <c r="BA810" t="s">
        <v>74</v>
      </c>
      <c r="BB810" t="s">
        <v>74</v>
      </c>
      <c r="BC810" t="s">
        <v>74</v>
      </c>
      <c r="BD810" t="s">
        <v>13354</v>
      </c>
      <c r="BE810" t="s">
        <v>13355</v>
      </c>
      <c r="BF810" t="str">
        <f>HYPERLINK("http://dx.doi.org/10.1029/2007GL030980","http://dx.doi.org/10.1029/2007GL030980")</f>
        <v>http://dx.doi.org/10.1029/2007GL030980</v>
      </c>
      <c r="BG810" t="s">
        <v>74</v>
      </c>
      <c r="BH810" t="s">
        <v>74</v>
      </c>
      <c r="BI810">
        <v>6</v>
      </c>
      <c r="BJ810" t="s">
        <v>96</v>
      </c>
      <c r="BK810" t="s">
        <v>97</v>
      </c>
      <c r="BL810" t="s">
        <v>98</v>
      </c>
      <c r="BM810" t="s">
        <v>13356</v>
      </c>
      <c r="BN810" t="s">
        <v>74</v>
      </c>
      <c r="BO810" t="s">
        <v>313</v>
      </c>
      <c r="BP810" t="s">
        <v>74</v>
      </c>
      <c r="BQ810" t="s">
        <v>74</v>
      </c>
      <c r="BR810" t="s">
        <v>100</v>
      </c>
      <c r="BS810" t="s">
        <v>13357</v>
      </c>
      <c r="BT810" t="str">
        <f>HYPERLINK("https%3A%2F%2Fwww.webofscience.com%2Fwos%2Fwoscc%2Ffull-record%2FWOS:000250045400001","View Full Record in Web of Science")</f>
        <v>View Full Record in Web of Science</v>
      </c>
    </row>
    <row r="811" spans="1:72" x14ac:dyDescent="0.15">
      <c r="A811" t="s">
        <v>72</v>
      </c>
      <c r="B811" t="s">
        <v>13358</v>
      </c>
      <c r="C811" t="s">
        <v>74</v>
      </c>
      <c r="D811" t="s">
        <v>74</v>
      </c>
      <c r="E811" t="s">
        <v>74</v>
      </c>
      <c r="F811" t="s">
        <v>13359</v>
      </c>
      <c r="G811" t="s">
        <v>74</v>
      </c>
      <c r="H811" t="s">
        <v>74</v>
      </c>
      <c r="I811" t="s">
        <v>13360</v>
      </c>
      <c r="J811" t="s">
        <v>12902</v>
      </c>
      <c r="K811" t="s">
        <v>74</v>
      </c>
      <c r="L811" t="s">
        <v>74</v>
      </c>
      <c r="M811" t="s">
        <v>78</v>
      </c>
      <c r="N811" t="s">
        <v>79</v>
      </c>
      <c r="O811" t="s">
        <v>74</v>
      </c>
      <c r="P811" t="s">
        <v>74</v>
      </c>
      <c r="Q811" t="s">
        <v>74</v>
      </c>
      <c r="R811" t="s">
        <v>74</v>
      </c>
      <c r="S811" t="s">
        <v>74</v>
      </c>
      <c r="T811" t="s">
        <v>74</v>
      </c>
      <c r="U811" t="s">
        <v>13361</v>
      </c>
      <c r="V811" t="s">
        <v>13362</v>
      </c>
      <c r="W811" t="s">
        <v>13363</v>
      </c>
      <c r="X811" t="s">
        <v>13364</v>
      </c>
      <c r="Y811" t="s">
        <v>13365</v>
      </c>
      <c r="Z811" t="s">
        <v>13366</v>
      </c>
      <c r="AA811" t="s">
        <v>13367</v>
      </c>
      <c r="AB811" t="s">
        <v>13368</v>
      </c>
      <c r="AC811" t="s">
        <v>12911</v>
      </c>
      <c r="AD811" t="s">
        <v>444</v>
      </c>
      <c r="AE811" t="s">
        <v>74</v>
      </c>
      <c r="AF811" t="s">
        <v>74</v>
      </c>
      <c r="AG811">
        <v>29</v>
      </c>
      <c r="AH811">
        <v>284</v>
      </c>
      <c r="AI811">
        <v>319</v>
      </c>
      <c r="AJ811">
        <v>9</v>
      </c>
      <c r="AK811">
        <v>228</v>
      </c>
      <c r="AL811" t="s">
        <v>13369</v>
      </c>
      <c r="AM811" t="s">
        <v>118</v>
      </c>
      <c r="AN811" t="s">
        <v>13370</v>
      </c>
      <c r="AO811" t="s">
        <v>12914</v>
      </c>
      <c r="AP811" t="s">
        <v>12915</v>
      </c>
      <c r="AQ811" t="s">
        <v>74</v>
      </c>
      <c r="AR811" t="s">
        <v>12902</v>
      </c>
      <c r="AS811" t="s">
        <v>12916</v>
      </c>
      <c r="AT811" t="s">
        <v>13353</v>
      </c>
      <c r="AU811">
        <v>2007</v>
      </c>
      <c r="AV811">
        <v>449</v>
      </c>
      <c r="AW811">
        <v>7162</v>
      </c>
      <c r="AX811" t="s">
        <v>74</v>
      </c>
      <c r="AY811" t="s">
        <v>74</v>
      </c>
      <c r="AZ811" t="s">
        <v>74</v>
      </c>
      <c r="BA811" t="s">
        <v>74</v>
      </c>
      <c r="BB811">
        <v>599</v>
      </c>
      <c r="BC811" t="s">
        <v>13371</v>
      </c>
      <c r="BD811" t="s">
        <v>74</v>
      </c>
      <c r="BE811" t="s">
        <v>13372</v>
      </c>
      <c r="BF811" t="str">
        <f>HYPERLINK("http://dx.doi.org/10.1038/nature06154","http://dx.doi.org/10.1038/nature06154")</f>
        <v>http://dx.doi.org/10.1038/nature06154</v>
      </c>
      <c r="BG811" t="s">
        <v>74</v>
      </c>
      <c r="BH811" t="s">
        <v>74</v>
      </c>
      <c r="BI811">
        <v>5</v>
      </c>
      <c r="BJ811" t="s">
        <v>684</v>
      </c>
      <c r="BK811" t="s">
        <v>97</v>
      </c>
      <c r="BL811" t="s">
        <v>685</v>
      </c>
      <c r="BM811" t="s">
        <v>13373</v>
      </c>
      <c r="BN811">
        <v>17914396</v>
      </c>
      <c r="BO811" t="s">
        <v>206</v>
      </c>
      <c r="BP811" t="s">
        <v>74</v>
      </c>
      <c r="BQ811" t="s">
        <v>74</v>
      </c>
      <c r="BR811" t="s">
        <v>100</v>
      </c>
      <c r="BS811" t="s">
        <v>13374</v>
      </c>
      <c r="BT811" t="str">
        <f>HYPERLINK("https%3A%2F%2Fwww.webofscience.com%2Fwos%2Fwoscc%2Ffull-record%2FWOS:000249893500045","View Full Record in Web of Science")</f>
        <v>View Full Record in Web of Science</v>
      </c>
    </row>
    <row r="812" spans="1:72" x14ac:dyDescent="0.15">
      <c r="A812" t="s">
        <v>72</v>
      </c>
      <c r="B812" t="s">
        <v>13375</v>
      </c>
      <c r="C812" t="s">
        <v>74</v>
      </c>
      <c r="D812" t="s">
        <v>74</v>
      </c>
      <c r="E812" t="s">
        <v>74</v>
      </c>
      <c r="F812" t="s">
        <v>13376</v>
      </c>
      <c r="G812" t="s">
        <v>74</v>
      </c>
      <c r="H812" t="s">
        <v>74</v>
      </c>
      <c r="I812" t="s">
        <v>13377</v>
      </c>
      <c r="J812" t="s">
        <v>233</v>
      </c>
      <c r="K812" t="s">
        <v>74</v>
      </c>
      <c r="L812" t="s">
        <v>74</v>
      </c>
      <c r="M812" t="s">
        <v>78</v>
      </c>
      <c r="N812" t="s">
        <v>79</v>
      </c>
      <c r="O812" t="s">
        <v>74</v>
      </c>
      <c r="P812" t="s">
        <v>74</v>
      </c>
      <c r="Q812" t="s">
        <v>74</v>
      </c>
      <c r="R812" t="s">
        <v>74</v>
      </c>
      <c r="S812" t="s">
        <v>74</v>
      </c>
      <c r="T812" t="s">
        <v>74</v>
      </c>
      <c r="U812" t="s">
        <v>13378</v>
      </c>
      <c r="V812" t="s">
        <v>13379</v>
      </c>
      <c r="W812" t="s">
        <v>13380</v>
      </c>
      <c r="X812" t="s">
        <v>13381</v>
      </c>
      <c r="Y812" t="s">
        <v>13382</v>
      </c>
      <c r="Z812" t="s">
        <v>13383</v>
      </c>
      <c r="AA812" t="s">
        <v>13384</v>
      </c>
      <c r="AB812" t="s">
        <v>13385</v>
      </c>
      <c r="AC812" t="s">
        <v>74</v>
      </c>
      <c r="AD812" t="s">
        <v>74</v>
      </c>
      <c r="AE812" t="s">
        <v>74</v>
      </c>
      <c r="AF812" t="s">
        <v>74</v>
      </c>
      <c r="AG812">
        <v>21</v>
      </c>
      <c r="AH812">
        <v>50</v>
      </c>
      <c r="AI812">
        <v>55</v>
      </c>
      <c r="AJ812">
        <v>0</v>
      </c>
      <c r="AK812">
        <v>6</v>
      </c>
      <c r="AL812" t="s">
        <v>193</v>
      </c>
      <c r="AM812" t="s">
        <v>194</v>
      </c>
      <c r="AN812" t="s">
        <v>195</v>
      </c>
      <c r="AO812" t="s">
        <v>243</v>
      </c>
      <c r="AP812" t="s">
        <v>326</v>
      </c>
      <c r="AQ812" t="s">
        <v>74</v>
      </c>
      <c r="AR812" t="s">
        <v>244</v>
      </c>
      <c r="AS812" t="s">
        <v>245</v>
      </c>
      <c r="AT812" t="s">
        <v>13386</v>
      </c>
      <c r="AU812">
        <v>2007</v>
      </c>
      <c r="AV812">
        <v>34</v>
      </c>
      <c r="AW812">
        <v>19</v>
      </c>
      <c r="AX812" t="s">
        <v>74</v>
      </c>
      <c r="AY812" t="s">
        <v>74</v>
      </c>
      <c r="AZ812" t="s">
        <v>74</v>
      </c>
      <c r="BA812" t="s">
        <v>74</v>
      </c>
      <c r="BB812" t="s">
        <v>74</v>
      </c>
      <c r="BC812" t="s">
        <v>74</v>
      </c>
      <c r="BD812" t="s">
        <v>13387</v>
      </c>
      <c r="BE812" t="s">
        <v>13388</v>
      </c>
      <c r="BF812" t="str">
        <f>HYPERLINK("http://dx.doi.org/10.1029/2007GL031072","http://dx.doi.org/10.1029/2007GL031072")</f>
        <v>http://dx.doi.org/10.1029/2007GL031072</v>
      </c>
      <c r="BG812" t="s">
        <v>74</v>
      </c>
      <c r="BH812" t="s">
        <v>74</v>
      </c>
      <c r="BI812">
        <v>5</v>
      </c>
      <c r="BJ812" t="s">
        <v>96</v>
      </c>
      <c r="BK812" t="s">
        <v>97</v>
      </c>
      <c r="BL812" t="s">
        <v>98</v>
      </c>
      <c r="BM812" t="s">
        <v>13389</v>
      </c>
      <c r="BN812" t="s">
        <v>74</v>
      </c>
      <c r="BO812" t="s">
        <v>74</v>
      </c>
      <c r="BP812" t="s">
        <v>74</v>
      </c>
      <c r="BQ812" t="s">
        <v>74</v>
      </c>
      <c r="BR812" t="s">
        <v>100</v>
      </c>
      <c r="BS812" t="s">
        <v>13390</v>
      </c>
      <c r="BT812" t="str">
        <f>HYPERLINK("https%3A%2F%2Fwww.webofscience.com%2Fwos%2Fwoscc%2Ffull-record%2FWOS:000250045300007","View Full Record in Web of Science")</f>
        <v>View Full Record in Web of Science</v>
      </c>
    </row>
    <row r="813" spans="1:72" x14ac:dyDescent="0.15">
      <c r="A813" t="s">
        <v>72</v>
      </c>
      <c r="B813" t="s">
        <v>13391</v>
      </c>
      <c r="C813" t="s">
        <v>74</v>
      </c>
      <c r="D813" t="s">
        <v>74</v>
      </c>
      <c r="E813" t="s">
        <v>74</v>
      </c>
      <c r="F813" t="s">
        <v>13392</v>
      </c>
      <c r="G813" t="s">
        <v>74</v>
      </c>
      <c r="H813" t="s">
        <v>74</v>
      </c>
      <c r="I813" t="s">
        <v>13393</v>
      </c>
      <c r="J813" t="s">
        <v>2533</v>
      </c>
      <c r="K813" t="s">
        <v>74</v>
      </c>
      <c r="L813" t="s">
        <v>74</v>
      </c>
      <c r="M813" t="s">
        <v>78</v>
      </c>
      <c r="N813" t="s">
        <v>79</v>
      </c>
      <c r="O813" t="s">
        <v>74</v>
      </c>
      <c r="P813" t="s">
        <v>74</v>
      </c>
      <c r="Q813" t="s">
        <v>74</v>
      </c>
      <c r="R813" t="s">
        <v>74</v>
      </c>
      <c r="S813" t="s">
        <v>74</v>
      </c>
      <c r="T813" t="s">
        <v>13394</v>
      </c>
      <c r="U813" t="s">
        <v>13395</v>
      </c>
      <c r="V813" t="s">
        <v>13396</v>
      </c>
      <c r="W813" t="s">
        <v>13397</v>
      </c>
      <c r="X813" t="s">
        <v>2515</v>
      </c>
      <c r="Y813" t="s">
        <v>13398</v>
      </c>
      <c r="Z813" t="s">
        <v>13399</v>
      </c>
      <c r="AA813" t="s">
        <v>13400</v>
      </c>
      <c r="AB813" t="s">
        <v>13401</v>
      </c>
      <c r="AC813" t="s">
        <v>74</v>
      </c>
      <c r="AD813" t="s">
        <v>74</v>
      </c>
      <c r="AE813" t="s">
        <v>74</v>
      </c>
      <c r="AF813" t="s">
        <v>74</v>
      </c>
      <c r="AG813">
        <v>37</v>
      </c>
      <c r="AH813">
        <v>20</v>
      </c>
      <c r="AI813">
        <v>21</v>
      </c>
      <c r="AJ813">
        <v>0</v>
      </c>
      <c r="AK813">
        <v>5</v>
      </c>
      <c r="AL813" t="s">
        <v>1331</v>
      </c>
      <c r="AM813" t="s">
        <v>1421</v>
      </c>
      <c r="AN813" t="s">
        <v>1422</v>
      </c>
      <c r="AO813" t="s">
        <v>2541</v>
      </c>
      <c r="AP813" t="s">
        <v>74</v>
      </c>
      <c r="AQ813" t="s">
        <v>74</v>
      </c>
      <c r="AR813" t="s">
        <v>2543</v>
      </c>
      <c r="AS813" t="s">
        <v>2544</v>
      </c>
      <c r="AT813" t="s">
        <v>13402</v>
      </c>
      <c r="AU813">
        <v>2007</v>
      </c>
      <c r="AV813">
        <v>54</v>
      </c>
      <c r="AW813">
        <v>7</v>
      </c>
      <c r="AX813" t="s">
        <v>74</v>
      </c>
      <c r="AY813" t="s">
        <v>74</v>
      </c>
      <c r="AZ813" t="s">
        <v>74</v>
      </c>
      <c r="BA813" t="s">
        <v>74</v>
      </c>
      <c r="BB813">
        <v>965</v>
      </c>
      <c r="BC813">
        <v>974</v>
      </c>
      <c r="BD813" t="s">
        <v>74</v>
      </c>
      <c r="BE813" t="s">
        <v>13403</v>
      </c>
      <c r="BF813" t="str">
        <f>HYPERLINK("http://dx.doi.org/10.1080/08120090701488297","http://dx.doi.org/10.1080/08120090701488297")</f>
        <v>http://dx.doi.org/10.1080/08120090701488297</v>
      </c>
      <c r="BG813" t="s">
        <v>74</v>
      </c>
      <c r="BH813" t="s">
        <v>74</v>
      </c>
      <c r="BI813">
        <v>10</v>
      </c>
      <c r="BJ813" t="s">
        <v>96</v>
      </c>
      <c r="BK813" t="s">
        <v>97</v>
      </c>
      <c r="BL813" t="s">
        <v>98</v>
      </c>
      <c r="BM813" t="s">
        <v>13404</v>
      </c>
      <c r="BN813" t="s">
        <v>74</v>
      </c>
      <c r="BO813" t="s">
        <v>1050</v>
      </c>
      <c r="BP813" t="s">
        <v>74</v>
      </c>
      <c r="BQ813" t="s">
        <v>74</v>
      </c>
      <c r="BR813" t="s">
        <v>100</v>
      </c>
      <c r="BS813" t="s">
        <v>13405</v>
      </c>
      <c r="BT813" t="str">
        <f>HYPERLINK("https%3A%2F%2Fwww.webofscience.com%2Fwos%2Fwoscc%2Ffull-record%2FWOS:000250384700005","View Full Record in Web of Science")</f>
        <v>View Full Record in Web of Science</v>
      </c>
    </row>
    <row r="814" spans="1:72" x14ac:dyDescent="0.15">
      <c r="A814" t="s">
        <v>72</v>
      </c>
      <c r="B814" t="s">
        <v>13406</v>
      </c>
      <c r="C814" t="s">
        <v>74</v>
      </c>
      <c r="D814" t="s">
        <v>74</v>
      </c>
      <c r="E814" t="s">
        <v>74</v>
      </c>
      <c r="F814" t="s">
        <v>13407</v>
      </c>
      <c r="G814" t="s">
        <v>74</v>
      </c>
      <c r="H814" t="s">
        <v>74</v>
      </c>
      <c r="I814" t="s">
        <v>13408</v>
      </c>
      <c r="J814" t="s">
        <v>13409</v>
      </c>
      <c r="K814" t="s">
        <v>74</v>
      </c>
      <c r="L814" t="s">
        <v>74</v>
      </c>
      <c r="M814" t="s">
        <v>78</v>
      </c>
      <c r="N814" t="s">
        <v>79</v>
      </c>
      <c r="O814" t="s">
        <v>74</v>
      </c>
      <c r="P814" t="s">
        <v>74</v>
      </c>
      <c r="Q814" t="s">
        <v>74</v>
      </c>
      <c r="R814" t="s">
        <v>74</v>
      </c>
      <c r="S814" t="s">
        <v>74</v>
      </c>
      <c r="T814" t="s">
        <v>13410</v>
      </c>
      <c r="U814" t="s">
        <v>13411</v>
      </c>
      <c r="V814" t="s">
        <v>13412</v>
      </c>
      <c r="W814" t="s">
        <v>13413</v>
      </c>
      <c r="X814" t="s">
        <v>13414</v>
      </c>
      <c r="Y814" t="s">
        <v>13415</v>
      </c>
      <c r="Z814" t="s">
        <v>13416</v>
      </c>
      <c r="AA814" t="s">
        <v>13417</v>
      </c>
      <c r="AB814" t="s">
        <v>13418</v>
      </c>
      <c r="AC814" t="s">
        <v>74</v>
      </c>
      <c r="AD814" t="s">
        <v>74</v>
      </c>
      <c r="AE814" t="s">
        <v>74</v>
      </c>
      <c r="AF814" t="s">
        <v>74</v>
      </c>
      <c r="AG814">
        <v>43</v>
      </c>
      <c r="AH814">
        <v>4</v>
      </c>
      <c r="AI814">
        <v>5</v>
      </c>
      <c r="AJ814">
        <v>0</v>
      </c>
      <c r="AK814">
        <v>7</v>
      </c>
      <c r="AL814" t="s">
        <v>13419</v>
      </c>
      <c r="AM814" t="s">
        <v>9802</v>
      </c>
      <c r="AN814" t="s">
        <v>9803</v>
      </c>
      <c r="AO814" t="s">
        <v>13420</v>
      </c>
      <c r="AP814" t="s">
        <v>13421</v>
      </c>
      <c r="AQ814" t="s">
        <v>74</v>
      </c>
      <c r="AR814" t="s">
        <v>13422</v>
      </c>
      <c r="AS814" t="s">
        <v>13423</v>
      </c>
      <c r="AT814" t="s">
        <v>13402</v>
      </c>
      <c r="AU814">
        <v>2007</v>
      </c>
      <c r="AV814">
        <v>85</v>
      </c>
      <c r="AW814">
        <v>5</v>
      </c>
      <c r="AX814" t="s">
        <v>74</v>
      </c>
      <c r="AY814" t="s">
        <v>74</v>
      </c>
      <c r="AZ814" t="s">
        <v>74</v>
      </c>
      <c r="BA814" t="s">
        <v>74</v>
      </c>
      <c r="BB814">
        <v>616</v>
      </c>
      <c r="BC814">
        <v>627</v>
      </c>
      <c r="BD814" t="s">
        <v>74</v>
      </c>
      <c r="BE814" t="s">
        <v>13424</v>
      </c>
      <c r="BF814" t="str">
        <f>HYPERLINK("http://dx.doi.org/10.1139/O07-066","http://dx.doi.org/10.1139/O07-066")</f>
        <v>http://dx.doi.org/10.1139/O07-066</v>
      </c>
      <c r="BG814" t="s">
        <v>74</v>
      </c>
      <c r="BH814" t="s">
        <v>74</v>
      </c>
      <c r="BI814">
        <v>12</v>
      </c>
      <c r="BJ814" t="s">
        <v>5139</v>
      </c>
      <c r="BK814" t="s">
        <v>97</v>
      </c>
      <c r="BL814" t="s">
        <v>5139</v>
      </c>
      <c r="BM814" t="s">
        <v>13425</v>
      </c>
      <c r="BN814">
        <v>17901903</v>
      </c>
      <c r="BO814" t="s">
        <v>74</v>
      </c>
      <c r="BP814" t="s">
        <v>74</v>
      </c>
      <c r="BQ814" t="s">
        <v>74</v>
      </c>
      <c r="BR814" t="s">
        <v>100</v>
      </c>
      <c r="BS814" t="s">
        <v>13426</v>
      </c>
      <c r="BT814" t="str">
        <f>HYPERLINK("https%3A%2F%2Fwww.webofscience.com%2Fwos%2Fwoscc%2Ffull-record%2FWOS:000250624500009","View Full Record in Web of Science")</f>
        <v>View Full Record in Web of Science</v>
      </c>
    </row>
    <row r="815" spans="1:72" x14ac:dyDescent="0.15">
      <c r="A815" t="s">
        <v>72</v>
      </c>
      <c r="B815" t="s">
        <v>13427</v>
      </c>
      <c r="C815" t="s">
        <v>74</v>
      </c>
      <c r="D815" t="s">
        <v>74</v>
      </c>
      <c r="E815" t="s">
        <v>74</v>
      </c>
      <c r="F815" t="s">
        <v>13428</v>
      </c>
      <c r="G815" t="s">
        <v>74</v>
      </c>
      <c r="H815" t="s">
        <v>74</v>
      </c>
      <c r="I815" t="s">
        <v>13429</v>
      </c>
      <c r="J815" t="s">
        <v>13430</v>
      </c>
      <c r="K815" t="s">
        <v>74</v>
      </c>
      <c r="L815" t="s">
        <v>74</v>
      </c>
      <c r="M815" t="s">
        <v>78</v>
      </c>
      <c r="N815" t="s">
        <v>79</v>
      </c>
      <c r="O815" t="s">
        <v>74</v>
      </c>
      <c r="P815" t="s">
        <v>74</v>
      </c>
      <c r="Q815" t="s">
        <v>74</v>
      </c>
      <c r="R815" t="s">
        <v>74</v>
      </c>
      <c r="S815" t="s">
        <v>74</v>
      </c>
      <c r="T815" t="s">
        <v>74</v>
      </c>
      <c r="U815" t="s">
        <v>13431</v>
      </c>
      <c r="V815" t="s">
        <v>13432</v>
      </c>
      <c r="W815" t="s">
        <v>13433</v>
      </c>
      <c r="X815" t="s">
        <v>13434</v>
      </c>
      <c r="Y815" t="s">
        <v>13435</v>
      </c>
      <c r="Z815" t="s">
        <v>13436</v>
      </c>
      <c r="AA815" t="s">
        <v>8166</v>
      </c>
      <c r="AB815" t="s">
        <v>13437</v>
      </c>
      <c r="AC815" t="s">
        <v>13438</v>
      </c>
      <c r="AD815" t="s">
        <v>8635</v>
      </c>
      <c r="AE815" t="s">
        <v>74</v>
      </c>
      <c r="AF815" t="s">
        <v>74</v>
      </c>
      <c r="AG815">
        <v>42</v>
      </c>
      <c r="AH815">
        <v>40</v>
      </c>
      <c r="AI815">
        <v>41</v>
      </c>
      <c r="AJ815">
        <v>0</v>
      </c>
      <c r="AK815">
        <v>9</v>
      </c>
      <c r="AL815" t="s">
        <v>13439</v>
      </c>
      <c r="AM815" t="s">
        <v>1467</v>
      </c>
      <c r="AN815" t="s">
        <v>13440</v>
      </c>
      <c r="AO815" t="s">
        <v>13441</v>
      </c>
      <c r="AP815" t="s">
        <v>13442</v>
      </c>
      <c r="AQ815" t="s">
        <v>74</v>
      </c>
      <c r="AR815" t="s">
        <v>13443</v>
      </c>
      <c r="AS815" t="s">
        <v>13444</v>
      </c>
      <c r="AT815" t="s">
        <v>13402</v>
      </c>
      <c r="AU815">
        <v>2007</v>
      </c>
      <c r="AV815">
        <v>93</v>
      </c>
      <c r="AW815">
        <v>8</v>
      </c>
      <c r="AX815" t="s">
        <v>74</v>
      </c>
      <c r="AY815" t="s">
        <v>74</v>
      </c>
      <c r="AZ815" t="s">
        <v>74</v>
      </c>
      <c r="BA815" t="s">
        <v>74</v>
      </c>
      <c r="BB815">
        <v>2822</v>
      </c>
      <c r="BC815">
        <v>2829</v>
      </c>
      <c r="BD815" t="s">
        <v>74</v>
      </c>
      <c r="BE815" t="s">
        <v>13445</v>
      </c>
      <c r="BF815" t="str">
        <f>HYPERLINK("http://dx.doi.org/10.1529/biophysj.107.105700","http://dx.doi.org/10.1529/biophysj.107.105700")</f>
        <v>http://dx.doi.org/10.1529/biophysj.107.105700</v>
      </c>
      <c r="BG815" t="s">
        <v>74</v>
      </c>
      <c r="BH815" t="s">
        <v>74</v>
      </c>
      <c r="BI815">
        <v>8</v>
      </c>
      <c r="BJ815" t="s">
        <v>13446</v>
      </c>
      <c r="BK815" t="s">
        <v>97</v>
      </c>
      <c r="BL815" t="s">
        <v>13446</v>
      </c>
      <c r="BM815" t="s">
        <v>13447</v>
      </c>
      <c r="BN815">
        <v>17545238</v>
      </c>
      <c r="BO815" t="s">
        <v>11211</v>
      </c>
      <c r="BP815" t="s">
        <v>74</v>
      </c>
      <c r="BQ815" t="s">
        <v>74</v>
      </c>
      <c r="BR815" t="s">
        <v>100</v>
      </c>
      <c r="BS815" t="s">
        <v>13448</v>
      </c>
      <c r="BT815" t="str">
        <f>HYPERLINK("https%3A%2F%2Fwww.webofscience.com%2Fwos%2Fwoscc%2Ffull-record%2FWOS:000249632300023","View Full Record in Web of Science")</f>
        <v>View Full Record in Web of Science</v>
      </c>
    </row>
    <row r="816" spans="1:72" x14ac:dyDescent="0.15">
      <c r="A816" t="s">
        <v>72</v>
      </c>
      <c r="B816" t="s">
        <v>11011</v>
      </c>
      <c r="C816" t="s">
        <v>74</v>
      </c>
      <c r="D816" t="s">
        <v>74</v>
      </c>
      <c r="E816" t="s">
        <v>74</v>
      </c>
      <c r="F816" t="s">
        <v>11011</v>
      </c>
      <c r="G816" t="s">
        <v>74</v>
      </c>
      <c r="H816" t="s">
        <v>74</v>
      </c>
      <c r="I816" t="s">
        <v>13449</v>
      </c>
      <c r="J816" t="s">
        <v>9776</v>
      </c>
      <c r="K816" t="s">
        <v>74</v>
      </c>
      <c r="L816" t="s">
        <v>74</v>
      </c>
      <c r="M816" t="s">
        <v>78</v>
      </c>
      <c r="N816" t="s">
        <v>692</v>
      </c>
      <c r="O816" t="s">
        <v>74</v>
      </c>
      <c r="P816" t="s">
        <v>74</v>
      </c>
      <c r="Q816" t="s">
        <v>74</v>
      </c>
      <c r="R816" t="s">
        <v>74</v>
      </c>
      <c r="S816" t="s">
        <v>74</v>
      </c>
      <c r="T816" t="s">
        <v>74</v>
      </c>
      <c r="U816" t="s">
        <v>74</v>
      </c>
      <c r="V816" t="s">
        <v>74</v>
      </c>
      <c r="W816" t="s">
        <v>74</v>
      </c>
      <c r="X816" t="s">
        <v>74</v>
      </c>
      <c r="Y816" t="s">
        <v>74</v>
      </c>
      <c r="Z816" t="s">
        <v>74</v>
      </c>
      <c r="AA816" t="s">
        <v>74</v>
      </c>
      <c r="AB816" t="s">
        <v>74</v>
      </c>
      <c r="AC816" t="s">
        <v>74</v>
      </c>
      <c r="AD816" t="s">
        <v>74</v>
      </c>
      <c r="AE816" t="s">
        <v>74</v>
      </c>
      <c r="AF816" t="s">
        <v>74</v>
      </c>
      <c r="AG816">
        <v>0</v>
      </c>
      <c r="AH816">
        <v>0</v>
      </c>
      <c r="AI816">
        <v>0</v>
      </c>
      <c r="AJ816">
        <v>0</v>
      </c>
      <c r="AK816">
        <v>0</v>
      </c>
      <c r="AL816" t="s">
        <v>583</v>
      </c>
      <c r="AM816" t="s">
        <v>584</v>
      </c>
      <c r="AN816" t="s">
        <v>585</v>
      </c>
      <c r="AO816" t="s">
        <v>9785</v>
      </c>
      <c r="AP816" t="s">
        <v>9786</v>
      </c>
      <c r="AQ816" t="s">
        <v>74</v>
      </c>
      <c r="AR816" t="s">
        <v>9787</v>
      </c>
      <c r="AS816" t="s">
        <v>9788</v>
      </c>
      <c r="AT816" t="s">
        <v>13402</v>
      </c>
      <c r="AU816">
        <v>2007</v>
      </c>
      <c r="AV816">
        <v>88</v>
      </c>
      <c r="AW816">
        <v>10</v>
      </c>
      <c r="AX816" t="s">
        <v>74</v>
      </c>
      <c r="AY816" t="s">
        <v>74</v>
      </c>
      <c r="AZ816" t="s">
        <v>74</v>
      </c>
      <c r="BA816" t="s">
        <v>74</v>
      </c>
      <c r="BB816">
        <v>1519</v>
      </c>
      <c r="BC816">
        <v>1519</v>
      </c>
      <c r="BD816" t="s">
        <v>74</v>
      </c>
      <c r="BE816" t="s">
        <v>74</v>
      </c>
      <c r="BF816" t="s">
        <v>74</v>
      </c>
      <c r="BG816" t="s">
        <v>74</v>
      </c>
      <c r="BH816" t="s">
        <v>74</v>
      </c>
      <c r="BI816">
        <v>1</v>
      </c>
      <c r="BJ816" t="s">
        <v>204</v>
      </c>
      <c r="BK816" t="s">
        <v>97</v>
      </c>
      <c r="BL816" t="s">
        <v>204</v>
      </c>
      <c r="BM816" t="s">
        <v>13450</v>
      </c>
      <c r="BN816" t="s">
        <v>74</v>
      </c>
      <c r="BO816" t="s">
        <v>74</v>
      </c>
      <c r="BP816" t="s">
        <v>74</v>
      </c>
      <c r="BQ816" t="s">
        <v>74</v>
      </c>
      <c r="BR816" t="s">
        <v>100</v>
      </c>
      <c r="BS816" t="s">
        <v>13451</v>
      </c>
      <c r="BT816" t="str">
        <f>HYPERLINK("https%3A%2F%2Fwww.webofscience.com%2Fwos%2Fwoscc%2Ffull-record%2FWOS:000250430500002","View Full Record in Web of Science")</f>
        <v>View Full Record in Web of Science</v>
      </c>
    </row>
    <row r="817" spans="1:72" x14ac:dyDescent="0.15">
      <c r="A817" t="s">
        <v>72</v>
      </c>
      <c r="B817" t="s">
        <v>13452</v>
      </c>
      <c r="C817" t="s">
        <v>74</v>
      </c>
      <c r="D817" t="s">
        <v>74</v>
      </c>
      <c r="E817" t="s">
        <v>74</v>
      </c>
      <c r="F817" t="s">
        <v>13453</v>
      </c>
      <c r="G817" t="s">
        <v>74</v>
      </c>
      <c r="H817" t="s">
        <v>74</v>
      </c>
      <c r="I817" t="s">
        <v>13454</v>
      </c>
      <c r="J817" t="s">
        <v>13455</v>
      </c>
      <c r="K817" t="s">
        <v>74</v>
      </c>
      <c r="L817" t="s">
        <v>74</v>
      </c>
      <c r="M817" t="s">
        <v>78</v>
      </c>
      <c r="N817" t="s">
        <v>79</v>
      </c>
      <c r="O817" t="s">
        <v>74</v>
      </c>
      <c r="P817" t="s">
        <v>74</v>
      </c>
      <c r="Q817" t="s">
        <v>74</v>
      </c>
      <c r="R817" t="s">
        <v>74</v>
      </c>
      <c r="S817" t="s">
        <v>74</v>
      </c>
      <c r="T817" t="s">
        <v>13456</v>
      </c>
      <c r="U817" t="s">
        <v>13457</v>
      </c>
      <c r="V817" t="s">
        <v>13458</v>
      </c>
      <c r="W817" t="s">
        <v>13459</v>
      </c>
      <c r="X817" t="s">
        <v>13460</v>
      </c>
      <c r="Y817" t="s">
        <v>13461</v>
      </c>
      <c r="Z817" t="s">
        <v>13462</v>
      </c>
      <c r="AA817" t="s">
        <v>13463</v>
      </c>
      <c r="AB817" t="s">
        <v>13464</v>
      </c>
      <c r="AC817" t="s">
        <v>74</v>
      </c>
      <c r="AD817" t="s">
        <v>74</v>
      </c>
      <c r="AE817" t="s">
        <v>74</v>
      </c>
      <c r="AF817" t="s">
        <v>74</v>
      </c>
      <c r="AG817">
        <v>34</v>
      </c>
      <c r="AH817">
        <v>52</v>
      </c>
      <c r="AI817">
        <v>54</v>
      </c>
      <c r="AJ817">
        <v>1</v>
      </c>
      <c r="AK817">
        <v>24</v>
      </c>
      <c r="AL817" t="s">
        <v>521</v>
      </c>
      <c r="AM817" t="s">
        <v>522</v>
      </c>
      <c r="AN817" t="s">
        <v>523</v>
      </c>
      <c r="AO817" t="s">
        <v>13465</v>
      </c>
      <c r="AP817" t="s">
        <v>13466</v>
      </c>
      <c r="AQ817" t="s">
        <v>74</v>
      </c>
      <c r="AR817" t="s">
        <v>13455</v>
      </c>
      <c r="AS817" t="s">
        <v>13467</v>
      </c>
      <c r="AT817" t="s">
        <v>13402</v>
      </c>
      <c r="AU817">
        <v>2007</v>
      </c>
      <c r="AV817">
        <v>69</v>
      </c>
      <c r="AW817">
        <v>7</v>
      </c>
      <c r="AX817" t="s">
        <v>74</v>
      </c>
      <c r="AY817" t="s">
        <v>74</v>
      </c>
      <c r="AZ817" t="s">
        <v>74</v>
      </c>
      <c r="BA817" t="s">
        <v>74</v>
      </c>
      <c r="BB817">
        <v>1017</v>
      </c>
      <c r="BC817">
        <v>1024</v>
      </c>
      <c r="BD817" t="s">
        <v>74</v>
      </c>
      <c r="BE817" t="s">
        <v>13468</v>
      </c>
      <c r="BF817" t="str">
        <f>HYPERLINK("http://dx.doi.org/10.1016/j.chemosphere.2007.04.049","http://dx.doi.org/10.1016/j.chemosphere.2007.04.049")</f>
        <v>http://dx.doi.org/10.1016/j.chemosphere.2007.04.049</v>
      </c>
      <c r="BG817" t="s">
        <v>74</v>
      </c>
      <c r="BH817" t="s">
        <v>74</v>
      </c>
      <c r="BI817">
        <v>8</v>
      </c>
      <c r="BJ817" t="s">
        <v>274</v>
      </c>
      <c r="BK817" t="s">
        <v>97</v>
      </c>
      <c r="BL817" t="s">
        <v>275</v>
      </c>
      <c r="BM817" t="s">
        <v>13469</v>
      </c>
      <c r="BN817">
        <v>17544055</v>
      </c>
      <c r="BO817" t="s">
        <v>74</v>
      </c>
      <c r="BP817" t="s">
        <v>74</v>
      </c>
      <c r="BQ817" t="s">
        <v>74</v>
      </c>
      <c r="BR817" t="s">
        <v>100</v>
      </c>
      <c r="BS817" t="s">
        <v>13470</v>
      </c>
      <c r="BT817" t="str">
        <f>HYPERLINK("https%3A%2F%2Fwww.webofscience.com%2Fwos%2Fwoscc%2Ffull-record%2FWOS:000250778800002","View Full Record in Web of Science")</f>
        <v>View Full Record in Web of Science</v>
      </c>
    </row>
    <row r="818" spans="1:72" x14ac:dyDescent="0.15">
      <c r="A818" t="s">
        <v>72</v>
      </c>
      <c r="B818" t="s">
        <v>13471</v>
      </c>
      <c r="C818" t="s">
        <v>74</v>
      </c>
      <c r="D818" t="s">
        <v>74</v>
      </c>
      <c r="E818" t="s">
        <v>74</v>
      </c>
      <c r="F818" t="s">
        <v>13472</v>
      </c>
      <c r="G818" t="s">
        <v>74</v>
      </c>
      <c r="H818" t="s">
        <v>74</v>
      </c>
      <c r="I818" t="s">
        <v>13473</v>
      </c>
      <c r="J818" t="s">
        <v>3305</v>
      </c>
      <c r="K818" t="s">
        <v>74</v>
      </c>
      <c r="L818" t="s">
        <v>74</v>
      </c>
      <c r="M818" t="s">
        <v>78</v>
      </c>
      <c r="N818" t="s">
        <v>79</v>
      </c>
      <c r="O818" t="s">
        <v>74</v>
      </c>
      <c r="P818" t="s">
        <v>74</v>
      </c>
      <c r="Q818" t="s">
        <v>74</v>
      </c>
      <c r="R818" t="s">
        <v>74</v>
      </c>
      <c r="S818" t="s">
        <v>74</v>
      </c>
      <c r="T818" t="s">
        <v>13474</v>
      </c>
      <c r="U818" t="s">
        <v>13475</v>
      </c>
      <c r="V818" t="s">
        <v>13476</v>
      </c>
      <c r="W818" t="s">
        <v>13477</v>
      </c>
      <c r="X818" t="s">
        <v>13478</v>
      </c>
      <c r="Y818" t="s">
        <v>13479</v>
      </c>
      <c r="Z818" t="s">
        <v>13480</v>
      </c>
      <c r="AA818" t="s">
        <v>13481</v>
      </c>
      <c r="AB818" t="s">
        <v>13482</v>
      </c>
      <c r="AC818" t="s">
        <v>74</v>
      </c>
      <c r="AD818" t="s">
        <v>74</v>
      </c>
      <c r="AE818" t="s">
        <v>74</v>
      </c>
      <c r="AF818" t="s">
        <v>74</v>
      </c>
      <c r="AG818">
        <v>66</v>
      </c>
      <c r="AH818">
        <v>18</v>
      </c>
      <c r="AI818">
        <v>20</v>
      </c>
      <c r="AJ818">
        <v>0</v>
      </c>
      <c r="AK818">
        <v>3</v>
      </c>
      <c r="AL818" t="s">
        <v>521</v>
      </c>
      <c r="AM818" t="s">
        <v>522</v>
      </c>
      <c r="AN818" t="s">
        <v>523</v>
      </c>
      <c r="AO818" t="s">
        <v>3315</v>
      </c>
      <c r="AP818" t="s">
        <v>11979</v>
      </c>
      <c r="AQ818" t="s">
        <v>74</v>
      </c>
      <c r="AR818" t="s">
        <v>3316</v>
      </c>
      <c r="AS818" t="s">
        <v>3317</v>
      </c>
      <c r="AT818" t="s">
        <v>13402</v>
      </c>
      <c r="AU818">
        <v>2007</v>
      </c>
      <c r="AV818">
        <v>54</v>
      </c>
      <c r="AW818">
        <v>10</v>
      </c>
      <c r="AX818" t="s">
        <v>74</v>
      </c>
      <c r="AY818" t="s">
        <v>74</v>
      </c>
      <c r="AZ818" t="s">
        <v>74</v>
      </c>
      <c r="BA818" t="s">
        <v>74</v>
      </c>
      <c r="BB818">
        <v>1815</v>
      </c>
      <c r="BC818">
        <v>1840</v>
      </c>
      <c r="BD818" t="s">
        <v>74</v>
      </c>
      <c r="BE818" t="s">
        <v>13483</v>
      </c>
      <c r="BF818" t="str">
        <f>HYPERLINK("http://dx.doi.org/10.1016/j.dsr.2007.06.003","http://dx.doi.org/10.1016/j.dsr.2007.06.003")</f>
        <v>http://dx.doi.org/10.1016/j.dsr.2007.06.003</v>
      </c>
      <c r="BG818" t="s">
        <v>74</v>
      </c>
      <c r="BH818" t="s">
        <v>74</v>
      </c>
      <c r="BI818">
        <v>26</v>
      </c>
      <c r="BJ818" t="s">
        <v>630</v>
      </c>
      <c r="BK818" t="s">
        <v>97</v>
      </c>
      <c r="BL818" t="s">
        <v>630</v>
      </c>
      <c r="BM818" t="s">
        <v>13484</v>
      </c>
      <c r="BN818" t="s">
        <v>74</v>
      </c>
      <c r="BO818" t="s">
        <v>3777</v>
      </c>
      <c r="BP818" t="s">
        <v>74</v>
      </c>
      <c r="BQ818" t="s">
        <v>74</v>
      </c>
      <c r="BR818" t="s">
        <v>100</v>
      </c>
      <c r="BS818" t="s">
        <v>13485</v>
      </c>
      <c r="BT818" t="str">
        <f>HYPERLINK("https%3A%2F%2Fwww.webofscience.com%2Fwos%2Fwoscc%2Ffull-record%2FWOS:000250702800008","View Full Record in Web of Science")</f>
        <v>View Full Record in Web of Science</v>
      </c>
    </row>
    <row r="819" spans="1:72" x14ac:dyDescent="0.15">
      <c r="A819" t="s">
        <v>72</v>
      </c>
      <c r="B819" t="s">
        <v>13486</v>
      </c>
      <c r="C819" t="s">
        <v>74</v>
      </c>
      <c r="D819" t="s">
        <v>74</v>
      </c>
      <c r="E819" t="s">
        <v>74</v>
      </c>
      <c r="F819" t="s">
        <v>13487</v>
      </c>
      <c r="G819" t="s">
        <v>74</v>
      </c>
      <c r="H819" t="s">
        <v>74</v>
      </c>
      <c r="I819" t="s">
        <v>13488</v>
      </c>
      <c r="J819" t="s">
        <v>3305</v>
      </c>
      <c r="K819" t="s">
        <v>74</v>
      </c>
      <c r="L819" t="s">
        <v>74</v>
      </c>
      <c r="M819" t="s">
        <v>78</v>
      </c>
      <c r="N819" t="s">
        <v>79</v>
      </c>
      <c r="O819" t="s">
        <v>74</v>
      </c>
      <c r="P819" t="s">
        <v>74</v>
      </c>
      <c r="Q819" t="s">
        <v>74</v>
      </c>
      <c r="R819" t="s">
        <v>74</v>
      </c>
      <c r="S819" t="s">
        <v>74</v>
      </c>
      <c r="T819" t="s">
        <v>13489</v>
      </c>
      <c r="U819" t="s">
        <v>13490</v>
      </c>
      <c r="V819" t="s">
        <v>13491</v>
      </c>
      <c r="W819" t="s">
        <v>13492</v>
      </c>
      <c r="X819" t="s">
        <v>13493</v>
      </c>
      <c r="Y819" t="s">
        <v>13494</v>
      </c>
      <c r="Z819" t="s">
        <v>13495</v>
      </c>
      <c r="AA819" t="s">
        <v>13496</v>
      </c>
      <c r="AB819" t="s">
        <v>13497</v>
      </c>
      <c r="AC819" t="s">
        <v>74</v>
      </c>
      <c r="AD819" t="s">
        <v>74</v>
      </c>
      <c r="AE819" t="s">
        <v>74</v>
      </c>
      <c r="AF819" t="s">
        <v>74</v>
      </c>
      <c r="AG819">
        <v>22</v>
      </c>
      <c r="AH819">
        <v>27</v>
      </c>
      <c r="AI819">
        <v>33</v>
      </c>
      <c r="AJ819">
        <v>0</v>
      </c>
      <c r="AK819">
        <v>10</v>
      </c>
      <c r="AL819" t="s">
        <v>521</v>
      </c>
      <c r="AM819" t="s">
        <v>522</v>
      </c>
      <c r="AN819" t="s">
        <v>523</v>
      </c>
      <c r="AO819" t="s">
        <v>3315</v>
      </c>
      <c r="AP819" t="s">
        <v>74</v>
      </c>
      <c r="AQ819" t="s">
        <v>74</v>
      </c>
      <c r="AR819" t="s">
        <v>3316</v>
      </c>
      <c r="AS819" t="s">
        <v>3317</v>
      </c>
      <c r="AT819" t="s">
        <v>13402</v>
      </c>
      <c r="AU819">
        <v>2007</v>
      </c>
      <c r="AV819">
        <v>54</v>
      </c>
      <c r="AW819">
        <v>10</v>
      </c>
      <c r="AX819" t="s">
        <v>74</v>
      </c>
      <c r="AY819" t="s">
        <v>74</v>
      </c>
      <c r="AZ819" t="s">
        <v>74</v>
      </c>
      <c r="BA819" t="s">
        <v>74</v>
      </c>
      <c r="BB819">
        <v>1841</v>
      </c>
      <c r="BC819">
        <v>1851</v>
      </c>
      <c r="BD819" t="s">
        <v>74</v>
      </c>
      <c r="BE819" t="s">
        <v>13498</v>
      </c>
      <c r="BF819" t="str">
        <f>HYPERLINK("http://dx.doi.org/10.1016/j.dsr.2007.06.007","http://dx.doi.org/10.1016/j.dsr.2007.06.007")</f>
        <v>http://dx.doi.org/10.1016/j.dsr.2007.06.007</v>
      </c>
      <c r="BG819" t="s">
        <v>74</v>
      </c>
      <c r="BH819" t="s">
        <v>74</v>
      </c>
      <c r="BI819">
        <v>11</v>
      </c>
      <c r="BJ819" t="s">
        <v>630</v>
      </c>
      <c r="BK819" t="s">
        <v>97</v>
      </c>
      <c r="BL819" t="s">
        <v>630</v>
      </c>
      <c r="BM819" t="s">
        <v>13484</v>
      </c>
      <c r="BN819" t="s">
        <v>74</v>
      </c>
      <c r="BO819" t="s">
        <v>74</v>
      </c>
      <c r="BP819" t="s">
        <v>74</v>
      </c>
      <c r="BQ819" t="s">
        <v>74</v>
      </c>
      <c r="BR819" t="s">
        <v>100</v>
      </c>
      <c r="BS819" t="s">
        <v>13499</v>
      </c>
      <c r="BT819" t="str">
        <f>HYPERLINK("https%3A%2F%2Fwww.webofscience.com%2Fwos%2Fwoscc%2Ffull-record%2FWOS:000250702800009","View Full Record in Web of Science")</f>
        <v>View Full Record in Web of Science</v>
      </c>
    </row>
    <row r="820" spans="1:72" x14ac:dyDescent="0.15">
      <c r="A820" t="s">
        <v>72</v>
      </c>
      <c r="B820" t="s">
        <v>13500</v>
      </c>
      <c r="C820" t="s">
        <v>74</v>
      </c>
      <c r="D820" t="s">
        <v>74</v>
      </c>
      <c r="E820" t="s">
        <v>74</v>
      </c>
      <c r="F820" t="s">
        <v>13501</v>
      </c>
      <c r="G820" t="s">
        <v>74</v>
      </c>
      <c r="H820" t="s">
        <v>74</v>
      </c>
      <c r="I820" t="s">
        <v>13502</v>
      </c>
      <c r="J820" t="s">
        <v>9858</v>
      </c>
      <c r="K820" t="s">
        <v>74</v>
      </c>
      <c r="L820" t="s">
        <v>74</v>
      </c>
      <c r="M820" t="s">
        <v>78</v>
      </c>
      <c r="N820" t="s">
        <v>79</v>
      </c>
      <c r="O820" t="s">
        <v>74</v>
      </c>
      <c r="P820" t="s">
        <v>74</v>
      </c>
      <c r="Q820" t="s">
        <v>74</v>
      </c>
      <c r="R820" t="s">
        <v>74</v>
      </c>
      <c r="S820" t="s">
        <v>74</v>
      </c>
      <c r="T820" t="s">
        <v>74</v>
      </c>
      <c r="U820" t="s">
        <v>13503</v>
      </c>
      <c r="V820" t="s">
        <v>74</v>
      </c>
      <c r="W820" t="s">
        <v>13504</v>
      </c>
      <c r="X820" t="s">
        <v>13505</v>
      </c>
      <c r="Y820" t="s">
        <v>13506</v>
      </c>
      <c r="Z820" t="s">
        <v>13507</v>
      </c>
      <c r="AA820" t="s">
        <v>13508</v>
      </c>
      <c r="AB820" t="s">
        <v>13509</v>
      </c>
      <c r="AC820" t="s">
        <v>74</v>
      </c>
      <c r="AD820" t="s">
        <v>74</v>
      </c>
      <c r="AE820" t="s">
        <v>74</v>
      </c>
      <c r="AF820" t="s">
        <v>74</v>
      </c>
      <c r="AG820">
        <v>6</v>
      </c>
      <c r="AH820">
        <v>3</v>
      </c>
      <c r="AI820">
        <v>3</v>
      </c>
      <c r="AJ820">
        <v>0</v>
      </c>
      <c r="AK820">
        <v>4</v>
      </c>
      <c r="AL820" t="s">
        <v>9863</v>
      </c>
      <c r="AM820" t="s">
        <v>662</v>
      </c>
      <c r="AN820" t="s">
        <v>9864</v>
      </c>
      <c r="AO820" t="s">
        <v>9865</v>
      </c>
      <c r="AP820" t="s">
        <v>9866</v>
      </c>
      <c r="AQ820" t="s">
        <v>74</v>
      </c>
      <c r="AR820" t="s">
        <v>9867</v>
      </c>
      <c r="AS820" t="s">
        <v>9868</v>
      </c>
      <c r="AT820" t="s">
        <v>13402</v>
      </c>
      <c r="AU820">
        <v>2007</v>
      </c>
      <c r="AV820">
        <v>416</v>
      </c>
      <c r="AW820">
        <v>7</v>
      </c>
      <c r="AX820" t="s">
        <v>74</v>
      </c>
      <c r="AY820" t="s">
        <v>74</v>
      </c>
      <c r="AZ820" t="s">
        <v>74</v>
      </c>
      <c r="BA820" t="s">
        <v>74</v>
      </c>
      <c r="BB820">
        <v>991</v>
      </c>
      <c r="BC820">
        <v>994</v>
      </c>
      <c r="BD820" t="s">
        <v>74</v>
      </c>
      <c r="BE820" t="s">
        <v>13510</v>
      </c>
      <c r="BF820" t="str">
        <f>HYPERLINK("http://dx.doi.org/10.1134/S1028334X07070021","http://dx.doi.org/10.1134/S1028334X07070021")</f>
        <v>http://dx.doi.org/10.1134/S1028334X07070021</v>
      </c>
      <c r="BG820" t="s">
        <v>74</v>
      </c>
      <c r="BH820" t="s">
        <v>74</v>
      </c>
      <c r="BI820">
        <v>4</v>
      </c>
      <c r="BJ820" t="s">
        <v>96</v>
      </c>
      <c r="BK820" t="s">
        <v>97</v>
      </c>
      <c r="BL820" t="s">
        <v>98</v>
      </c>
      <c r="BM820" t="s">
        <v>13511</v>
      </c>
      <c r="BN820" t="s">
        <v>74</v>
      </c>
      <c r="BO820" t="s">
        <v>74</v>
      </c>
      <c r="BP820" t="s">
        <v>74</v>
      </c>
      <c r="BQ820" t="s">
        <v>74</v>
      </c>
      <c r="BR820" t="s">
        <v>100</v>
      </c>
      <c r="BS820" t="s">
        <v>13512</v>
      </c>
      <c r="BT820" t="str">
        <f>HYPERLINK("https%3A%2F%2Fwww.webofscience.com%2Fwos%2Fwoscc%2Ffull-record%2FWOS:000250511700002","View Full Record in Web of Science")</f>
        <v>View Full Record in Web of Science</v>
      </c>
    </row>
    <row r="821" spans="1:72" x14ac:dyDescent="0.15">
      <c r="A821" t="s">
        <v>72</v>
      </c>
      <c r="B821" t="s">
        <v>13513</v>
      </c>
      <c r="C821" t="s">
        <v>74</v>
      </c>
      <c r="D821" t="s">
        <v>74</v>
      </c>
      <c r="E821" t="s">
        <v>74</v>
      </c>
      <c r="F821" t="s">
        <v>13514</v>
      </c>
      <c r="G821" t="s">
        <v>74</v>
      </c>
      <c r="H821" t="s">
        <v>74</v>
      </c>
      <c r="I821" t="s">
        <v>13515</v>
      </c>
      <c r="J821" t="s">
        <v>13516</v>
      </c>
      <c r="K821" t="s">
        <v>74</v>
      </c>
      <c r="L821" t="s">
        <v>74</v>
      </c>
      <c r="M821" t="s">
        <v>78</v>
      </c>
      <c r="N821" t="s">
        <v>106</v>
      </c>
      <c r="O821" t="s">
        <v>74</v>
      </c>
      <c r="P821" t="s">
        <v>74</v>
      </c>
      <c r="Q821" t="s">
        <v>74</v>
      </c>
      <c r="R821" t="s">
        <v>74</v>
      </c>
      <c r="S821" t="s">
        <v>74</v>
      </c>
      <c r="T821" t="s">
        <v>13517</v>
      </c>
      <c r="U821" t="s">
        <v>13518</v>
      </c>
      <c r="V821" t="s">
        <v>13519</v>
      </c>
      <c r="W821" t="s">
        <v>13520</v>
      </c>
      <c r="X821" t="s">
        <v>13521</v>
      </c>
      <c r="Y821" t="s">
        <v>13522</v>
      </c>
      <c r="Z821" t="s">
        <v>13523</v>
      </c>
      <c r="AA821" t="s">
        <v>13524</v>
      </c>
      <c r="AB821" t="s">
        <v>13525</v>
      </c>
      <c r="AC821" t="s">
        <v>74</v>
      </c>
      <c r="AD821" t="s">
        <v>74</v>
      </c>
      <c r="AE821" t="s">
        <v>74</v>
      </c>
      <c r="AF821" t="s">
        <v>74</v>
      </c>
      <c r="AG821">
        <v>183</v>
      </c>
      <c r="AH821">
        <v>468</v>
      </c>
      <c r="AI821">
        <v>495</v>
      </c>
      <c r="AJ821">
        <v>1</v>
      </c>
      <c r="AK821">
        <v>69</v>
      </c>
      <c r="AL821" t="s">
        <v>265</v>
      </c>
      <c r="AM821" t="s">
        <v>266</v>
      </c>
      <c r="AN821" t="s">
        <v>267</v>
      </c>
      <c r="AO821" t="s">
        <v>13526</v>
      </c>
      <c r="AP821" t="s">
        <v>13527</v>
      </c>
      <c r="AQ821" t="s">
        <v>74</v>
      </c>
      <c r="AR821" t="s">
        <v>13528</v>
      </c>
      <c r="AS821" t="s">
        <v>13529</v>
      </c>
      <c r="AT821" t="s">
        <v>13402</v>
      </c>
      <c r="AU821">
        <v>2007</v>
      </c>
      <c r="AV821">
        <v>84</v>
      </c>
      <c r="AW821" t="s">
        <v>489</v>
      </c>
      <c r="AX821" t="s">
        <v>74</v>
      </c>
      <c r="AY821" t="s">
        <v>74</v>
      </c>
      <c r="AZ821" t="s">
        <v>74</v>
      </c>
      <c r="BA821" t="s">
        <v>74</v>
      </c>
      <c r="BB821">
        <v>103</v>
      </c>
      <c r="BC821">
        <v>138</v>
      </c>
      <c r="BD821" t="s">
        <v>74</v>
      </c>
      <c r="BE821" t="s">
        <v>13530</v>
      </c>
      <c r="BF821" t="str">
        <f>HYPERLINK("http://dx.doi.org/10.1016/j.earscirev.2007.06.002","http://dx.doi.org/10.1016/j.earscirev.2007.06.002")</f>
        <v>http://dx.doi.org/10.1016/j.earscirev.2007.06.002</v>
      </c>
      <c r="BG821" t="s">
        <v>74</v>
      </c>
      <c r="BH821" t="s">
        <v>74</v>
      </c>
      <c r="BI821">
        <v>36</v>
      </c>
      <c r="BJ821" t="s">
        <v>96</v>
      </c>
      <c r="BK821" t="s">
        <v>97</v>
      </c>
      <c r="BL821" t="s">
        <v>98</v>
      </c>
      <c r="BM821" t="s">
        <v>13531</v>
      </c>
      <c r="BN821" t="s">
        <v>74</v>
      </c>
      <c r="BO821" t="s">
        <v>74</v>
      </c>
      <c r="BP821" t="s">
        <v>74</v>
      </c>
      <c r="BQ821" t="s">
        <v>74</v>
      </c>
      <c r="BR821" t="s">
        <v>100</v>
      </c>
      <c r="BS821" t="s">
        <v>13532</v>
      </c>
      <c r="BT821" t="str">
        <f>HYPERLINK("https%3A%2F%2Fwww.webofscience.com%2Fwos%2Fwoscc%2Ffull-record%2FWOS:000250696100002","View Full Record in Web of Science")</f>
        <v>View Full Record in Web of Science</v>
      </c>
    </row>
    <row r="822" spans="1:72" x14ac:dyDescent="0.15">
      <c r="A822" t="s">
        <v>72</v>
      </c>
      <c r="B822" t="s">
        <v>13533</v>
      </c>
      <c r="C822" t="s">
        <v>74</v>
      </c>
      <c r="D822" t="s">
        <v>74</v>
      </c>
      <c r="E822" t="s">
        <v>74</v>
      </c>
      <c r="F822" t="s">
        <v>13534</v>
      </c>
      <c r="G822" t="s">
        <v>74</v>
      </c>
      <c r="H822" t="s">
        <v>74</v>
      </c>
      <c r="I822" t="s">
        <v>13535</v>
      </c>
      <c r="J822" t="s">
        <v>13536</v>
      </c>
      <c r="K822" t="s">
        <v>74</v>
      </c>
      <c r="L822" t="s">
        <v>74</v>
      </c>
      <c r="M822" t="s">
        <v>78</v>
      </c>
      <c r="N822" t="s">
        <v>79</v>
      </c>
      <c r="O822" t="s">
        <v>74</v>
      </c>
      <c r="P822" t="s">
        <v>74</v>
      </c>
      <c r="Q822" t="s">
        <v>74</v>
      </c>
      <c r="R822" t="s">
        <v>74</v>
      </c>
      <c r="S822" t="s">
        <v>74</v>
      </c>
      <c r="T822" t="s">
        <v>13537</v>
      </c>
      <c r="U822" t="s">
        <v>13538</v>
      </c>
      <c r="V822" t="s">
        <v>13539</v>
      </c>
      <c r="W822" t="s">
        <v>13540</v>
      </c>
      <c r="X822" t="s">
        <v>13541</v>
      </c>
      <c r="Y822" t="s">
        <v>13542</v>
      </c>
      <c r="Z822" t="s">
        <v>13543</v>
      </c>
      <c r="AA822" t="s">
        <v>13544</v>
      </c>
      <c r="AB822" t="s">
        <v>13545</v>
      </c>
      <c r="AC822" t="s">
        <v>74</v>
      </c>
      <c r="AD822" t="s">
        <v>74</v>
      </c>
      <c r="AE822" t="s">
        <v>74</v>
      </c>
      <c r="AF822" t="s">
        <v>74</v>
      </c>
      <c r="AG822">
        <v>68</v>
      </c>
      <c r="AH822">
        <v>47</v>
      </c>
      <c r="AI822">
        <v>50</v>
      </c>
      <c r="AJ822">
        <v>0</v>
      </c>
      <c r="AK822">
        <v>48</v>
      </c>
      <c r="AL822" t="s">
        <v>521</v>
      </c>
      <c r="AM822" t="s">
        <v>522</v>
      </c>
      <c r="AN822" t="s">
        <v>523</v>
      </c>
      <c r="AO822" t="s">
        <v>13546</v>
      </c>
      <c r="AP822" t="s">
        <v>13547</v>
      </c>
      <c r="AQ822" t="s">
        <v>74</v>
      </c>
      <c r="AR822" t="s">
        <v>13548</v>
      </c>
      <c r="AS822" t="s">
        <v>13549</v>
      </c>
      <c r="AT822" t="s">
        <v>13402</v>
      </c>
      <c r="AU822">
        <v>2007</v>
      </c>
      <c r="AV822">
        <v>33</v>
      </c>
      <c r="AW822">
        <v>7</v>
      </c>
      <c r="AX822" t="s">
        <v>74</v>
      </c>
      <c r="AY822" t="s">
        <v>74</v>
      </c>
      <c r="AZ822" t="s">
        <v>74</v>
      </c>
      <c r="BA822" t="s">
        <v>74</v>
      </c>
      <c r="BB822">
        <v>911</v>
      </c>
      <c r="BC822">
        <v>918</v>
      </c>
      <c r="BD822" t="s">
        <v>74</v>
      </c>
      <c r="BE822" t="s">
        <v>13550</v>
      </c>
      <c r="BF822" t="str">
        <f>HYPERLINK("http://dx.doi.org/10.1016/j.envint.2007.04.010","http://dx.doi.org/10.1016/j.envint.2007.04.010")</f>
        <v>http://dx.doi.org/10.1016/j.envint.2007.04.010</v>
      </c>
      <c r="BG822" t="s">
        <v>74</v>
      </c>
      <c r="BH822" t="s">
        <v>74</v>
      </c>
      <c r="BI822">
        <v>8</v>
      </c>
      <c r="BJ822" t="s">
        <v>274</v>
      </c>
      <c r="BK822" t="s">
        <v>97</v>
      </c>
      <c r="BL822" t="s">
        <v>275</v>
      </c>
      <c r="BM822" t="s">
        <v>13551</v>
      </c>
      <c r="BN822">
        <v>17561256</v>
      </c>
      <c r="BO822" t="s">
        <v>74</v>
      </c>
      <c r="BP822" t="s">
        <v>74</v>
      </c>
      <c r="BQ822" t="s">
        <v>74</v>
      </c>
      <c r="BR822" t="s">
        <v>100</v>
      </c>
      <c r="BS822" t="s">
        <v>13552</v>
      </c>
      <c r="BT822" t="str">
        <f>HYPERLINK("https%3A%2F%2Fwww.webofscience.com%2Fwos%2Fwoscc%2Ffull-record%2FWOS:000249677300007","View Full Record in Web of Science")</f>
        <v>View Full Record in Web of Science</v>
      </c>
    </row>
    <row r="823" spans="1:72" x14ac:dyDescent="0.15">
      <c r="A823" t="s">
        <v>72</v>
      </c>
      <c r="B823" t="s">
        <v>13553</v>
      </c>
      <c r="C823" t="s">
        <v>74</v>
      </c>
      <c r="D823" t="s">
        <v>74</v>
      </c>
      <c r="E823" t="s">
        <v>74</v>
      </c>
      <c r="F823" t="s">
        <v>13554</v>
      </c>
      <c r="G823" t="s">
        <v>74</v>
      </c>
      <c r="H823" t="s">
        <v>74</v>
      </c>
      <c r="I823" t="s">
        <v>13555</v>
      </c>
      <c r="J823" t="s">
        <v>13556</v>
      </c>
      <c r="K823" t="s">
        <v>74</v>
      </c>
      <c r="L823" t="s">
        <v>74</v>
      </c>
      <c r="M823" t="s">
        <v>78</v>
      </c>
      <c r="N823" t="s">
        <v>1602</v>
      </c>
      <c r="O823" t="s">
        <v>13557</v>
      </c>
      <c r="P823" t="s">
        <v>13558</v>
      </c>
      <c r="Q823" t="s">
        <v>13559</v>
      </c>
      <c r="R823" t="s">
        <v>74</v>
      </c>
      <c r="S823" t="s">
        <v>74</v>
      </c>
      <c r="T823" t="s">
        <v>13560</v>
      </c>
      <c r="U823" t="s">
        <v>13561</v>
      </c>
      <c r="V823" t="s">
        <v>13562</v>
      </c>
      <c r="W823" t="s">
        <v>13563</v>
      </c>
      <c r="X823" t="s">
        <v>5989</v>
      </c>
      <c r="Y823" t="s">
        <v>13564</v>
      </c>
      <c r="Z823" t="s">
        <v>13565</v>
      </c>
      <c r="AA823" t="s">
        <v>74</v>
      </c>
      <c r="AB823" t="s">
        <v>74</v>
      </c>
      <c r="AC823" t="s">
        <v>74</v>
      </c>
      <c r="AD823" t="s">
        <v>74</v>
      </c>
      <c r="AE823" t="s">
        <v>74</v>
      </c>
      <c r="AF823" t="s">
        <v>74</v>
      </c>
      <c r="AG823">
        <v>55</v>
      </c>
      <c r="AH823">
        <v>16</v>
      </c>
      <c r="AI823">
        <v>19</v>
      </c>
      <c r="AJ823">
        <v>0</v>
      </c>
      <c r="AK823">
        <v>10</v>
      </c>
      <c r="AL823" t="s">
        <v>1265</v>
      </c>
      <c r="AM823" t="s">
        <v>662</v>
      </c>
      <c r="AN823" t="s">
        <v>7409</v>
      </c>
      <c r="AO823" t="s">
        <v>13566</v>
      </c>
      <c r="AP823" t="s">
        <v>74</v>
      </c>
      <c r="AQ823" t="s">
        <v>74</v>
      </c>
      <c r="AR823" t="s">
        <v>13567</v>
      </c>
      <c r="AS823" t="s">
        <v>13568</v>
      </c>
      <c r="AT823" t="s">
        <v>13402</v>
      </c>
      <c r="AU823">
        <v>2007</v>
      </c>
      <c r="AV823">
        <v>80</v>
      </c>
      <c r="AW823" t="s">
        <v>272</v>
      </c>
      <c r="AX823" t="s">
        <v>74</v>
      </c>
      <c r="AY823" t="s">
        <v>74</v>
      </c>
      <c r="AZ823" t="s">
        <v>74</v>
      </c>
      <c r="BA823" t="s">
        <v>74</v>
      </c>
      <c r="BB823">
        <v>125</v>
      </c>
      <c r="BC823">
        <v>145</v>
      </c>
      <c r="BD823" t="s">
        <v>74</v>
      </c>
      <c r="BE823" t="s">
        <v>13569</v>
      </c>
      <c r="BF823" t="str">
        <f>HYPERLINK("http://dx.doi.org/10.1007/s10641-007-9243-4","http://dx.doi.org/10.1007/s10641-007-9243-4")</f>
        <v>http://dx.doi.org/10.1007/s10641-007-9243-4</v>
      </c>
      <c r="BG823" t="s">
        <v>74</v>
      </c>
      <c r="BH823" t="s">
        <v>74</v>
      </c>
      <c r="BI823">
        <v>21</v>
      </c>
      <c r="BJ823" t="s">
        <v>789</v>
      </c>
      <c r="BK823" t="s">
        <v>8389</v>
      </c>
      <c r="BL823" t="s">
        <v>790</v>
      </c>
      <c r="BM823" t="s">
        <v>13570</v>
      </c>
      <c r="BN823" t="s">
        <v>74</v>
      </c>
      <c r="BO823" t="s">
        <v>74</v>
      </c>
      <c r="BP823" t="s">
        <v>74</v>
      </c>
      <c r="BQ823" t="s">
        <v>74</v>
      </c>
      <c r="BR823" t="s">
        <v>100</v>
      </c>
      <c r="BS823" t="s">
        <v>13571</v>
      </c>
      <c r="BT823" t="str">
        <f>HYPERLINK("https%3A%2F%2Fwww.webofscience.com%2Fwos%2Fwoscc%2Ffull-record%2FWOS:000249917600003","View Full Record in Web of Science")</f>
        <v>View Full Record in Web of Science</v>
      </c>
    </row>
    <row r="824" spans="1:72" x14ac:dyDescent="0.15">
      <c r="A824" t="s">
        <v>72</v>
      </c>
      <c r="B824" t="s">
        <v>13572</v>
      </c>
      <c r="C824" t="s">
        <v>74</v>
      </c>
      <c r="D824" t="s">
        <v>74</v>
      </c>
      <c r="E824" t="s">
        <v>74</v>
      </c>
      <c r="F824" t="s">
        <v>13573</v>
      </c>
      <c r="G824" t="s">
        <v>74</v>
      </c>
      <c r="H824" t="s">
        <v>74</v>
      </c>
      <c r="I824" t="s">
        <v>13574</v>
      </c>
      <c r="J824" t="s">
        <v>12030</v>
      </c>
      <c r="K824" t="s">
        <v>74</v>
      </c>
      <c r="L824" t="s">
        <v>74</v>
      </c>
      <c r="M824" t="s">
        <v>78</v>
      </c>
      <c r="N824" t="s">
        <v>79</v>
      </c>
      <c r="O824" t="s">
        <v>74</v>
      </c>
      <c r="P824" t="s">
        <v>74</v>
      </c>
      <c r="Q824" t="s">
        <v>74</v>
      </c>
      <c r="R824" t="s">
        <v>74</v>
      </c>
      <c r="S824" t="s">
        <v>74</v>
      </c>
      <c r="T824" t="s">
        <v>74</v>
      </c>
      <c r="U824" t="s">
        <v>13575</v>
      </c>
      <c r="V824" t="s">
        <v>13576</v>
      </c>
      <c r="W824" t="s">
        <v>13577</v>
      </c>
      <c r="X824" t="s">
        <v>13578</v>
      </c>
      <c r="Y824" t="s">
        <v>13579</v>
      </c>
      <c r="Z824" t="s">
        <v>13580</v>
      </c>
      <c r="AA824" t="s">
        <v>74</v>
      </c>
      <c r="AB824" t="s">
        <v>74</v>
      </c>
      <c r="AC824" t="s">
        <v>74</v>
      </c>
      <c r="AD824" t="s">
        <v>74</v>
      </c>
      <c r="AE824" t="s">
        <v>74</v>
      </c>
      <c r="AF824" t="s">
        <v>74</v>
      </c>
      <c r="AG824">
        <v>59</v>
      </c>
      <c r="AH824">
        <v>109</v>
      </c>
      <c r="AI824">
        <v>127</v>
      </c>
      <c r="AJ824">
        <v>10</v>
      </c>
      <c r="AK824">
        <v>63</v>
      </c>
      <c r="AL824" t="s">
        <v>6640</v>
      </c>
      <c r="AM824" t="s">
        <v>522</v>
      </c>
      <c r="AN824" t="s">
        <v>6641</v>
      </c>
      <c r="AO824" t="s">
        <v>12039</v>
      </c>
      <c r="AP824" t="s">
        <v>74</v>
      </c>
      <c r="AQ824" t="s">
        <v>74</v>
      </c>
      <c r="AR824" t="s">
        <v>12041</v>
      </c>
      <c r="AS824" t="s">
        <v>12042</v>
      </c>
      <c r="AT824" t="s">
        <v>13402</v>
      </c>
      <c r="AU824">
        <v>2007</v>
      </c>
      <c r="AV824">
        <v>9</v>
      </c>
      <c r="AW824">
        <v>10</v>
      </c>
      <c r="AX824" t="s">
        <v>74</v>
      </c>
      <c r="AY824" t="s">
        <v>74</v>
      </c>
      <c r="AZ824" t="s">
        <v>74</v>
      </c>
      <c r="BA824" t="s">
        <v>74</v>
      </c>
      <c r="BB824">
        <v>2563</v>
      </c>
      <c r="BC824">
        <v>2574</v>
      </c>
      <c r="BD824" t="s">
        <v>74</v>
      </c>
      <c r="BE824" t="s">
        <v>13581</v>
      </c>
      <c r="BF824" t="str">
        <f>HYPERLINK("http://dx.doi.org/10.1111/j.1462-2920.2007.01374.x","http://dx.doi.org/10.1111/j.1462-2920.2007.01374.x")</f>
        <v>http://dx.doi.org/10.1111/j.1462-2920.2007.01374.x</v>
      </c>
      <c r="BG824" t="s">
        <v>74</v>
      </c>
      <c r="BH824" t="s">
        <v>74</v>
      </c>
      <c r="BI824">
        <v>12</v>
      </c>
      <c r="BJ824" t="s">
        <v>4198</v>
      </c>
      <c r="BK824" t="s">
        <v>97</v>
      </c>
      <c r="BL824" t="s">
        <v>4198</v>
      </c>
      <c r="BM824" t="s">
        <v>13582</v>
      </c>
      <c r="BN824">
        <v>17803780</v>
      </c>
      <c r="BO824" t="s">
        <v>74</v>
      </c>
      <c r="BP824" t="s">
        <v>74</v>
      </c>
      <c r="BQ824" t="s">
        <v>74</v>
      </c>
      <c r="BR824" t="s">
        <v>100</v>
      </c>
      <c r="BS824" t="s">
        <v>13583</v>
      </c>
      <c r="BT824" t="str">
        <f>HYPERLINK("https%3A%2F%2Fwww.webofscience.com%2Fwos%2Fwoscc%2Ffull-record%2FWOS:000249222600017","View Full Record in Web of Science")</f>
        <v>View Full Record in Web of Science</v>
      </c>
    </row>
    <row r="825" spans="1:72" x14ac:dyDescent="0.15">
      <c r="A825" t="s">
        <v>72</v>
      </c>
      <c r="B825" t="s">
        <v>13584</v>
      </c>
      <c r="C825" t="s">
        <v>74</v>
      </c>
      <c r="D825" t="s">
        <v>74</v>
      </c>
      <c r="E825" t="s">
        <v>74</v>
      </c>
      <c r="F825" t="s">
        <v>13585</v>
      </c>
      <c r="G825" t="s">
        <v>74</v>
      </c>
      <c r="H825" t="s">
        <v>74</v>
      </c>
      <c r="I825" t="s">
        <v>13586</v>
      </c>
      <c r="J825" t="s">
        <v>13587</v>
      </c>
      <c r="K825" t="s">
        <v>74</v>
      </c>
      <c r="L825" t="s">
        <v>74</v>
      </c>
      <c r="M825" t="s">
        <v>78</v>
      </c>
      <c r="N825" t="s">
        <v>79</v>
      </c>
      <c r="O825" t="s">
        <v>74</v>
      </c>
      <c r="P825" t="s">
        <v>74</v>
      </c>
      <c r="Q825" t="s">
        <v>74</v>
      </c>
      <c r="R825" t="s">
        <v>74</v>
      </c>
      <c r="S825" t="s">
        <v>74</v>
      </c>
      <c r="T825" t="s">
        <v>13588</v>
      </c>
      <c r="U825" t="s">
        <v>13589</v>
      </c>
      <c r="V825" t="s">
        <v>13590</v>
      </c>
      <c r="W825" t="s">
        <v>13591</v>
      </c>
      <c r="X825" t="s">
        <v>13592</v>
      </c>
      <c r="Y825" t="s">
        <v>13593</v>
      </c>
      <c r="Z825" t="s">
        <v>13594</v>
      </c>
      <c r="AA825" t="s">
        <v>74</v>
      </c>
      <c r="AB825" t="s">
        <v>74</v>
      </c>
      <c r="AC825" t="s">
        <v>74</v>
      </c>
      <c r="AD825" t="s">
        <v>74</v>
      </c>
      <c r="AE825" t="s">
        <v>74</v>
      </c>
      <c r="AF825" t="s">
        <v>74</v>
      </c>
      <c r="AG825">
        <v>44</v>
      </c>
      <c r="AH825">
        <v>1</v>
      </c>
      <c r="AI825">
        <v>1</v>
      </c>
      <c r="AJ825">
        <v>0</v>
      </c>
      <c r="AK825">
        <v>14</v>
      </c>
      <c r="AL825" t="s">
        <v>4139</v>
      </c>
      <c r="AM825" t="s">
        <v>804</v>
      </c>
      <c r="AN825" t="s">
        <v>4140</v>
      </c>
      <c r="AO825" t="s">
        <v>13595</v>
      </c>
      <c r="AP825" t="s">
        <v>13596</v>
      </c>
      <c r="AQ825" t="s">
        <v>74</v>
      </c>
      <c r="AR825" t="s">
        <v>13597</v>
      </c>
      <c r="AS825" t="s">
        <v>13598</v>
      </c>
      <c r="AT825" t="s">
        <v>13402</v>
      </c>
      <c r="AU825">
        <v>2007</v>
      </c>
      <c r="AV825">
        <v>73</v>
      </c>
      <c r="AW825">
        <v>5</v>
      </c>
      <c r="AX825" t="s">
        <v>74</v>
      </c>
      <c r="AY825" t="s">
        <v>74</v>
      </c>
      <c r="AZ825" t="s">
        <v>74</v>
      </c>
      <c r="BA825" t="s">
        <v>74</v>
      </c>
      <c r="BB825">
        <v>1186</v>
      </c>
      <c r="BC825">
        <v>1194</v>
      </c>
      <c r="BD825" t="s">
        <v>74</v>
      </c>
      <c r="BE825" t="s">
        <v>13599</v>
      </c>
      <c r="BF825" t="str">
        <f>HYPERLINK("http://dx.doi.org/10.1111/j.1444-2906.2007.01451.x","http://dx.doi.org/10.1111/j.1444-2906.2007.01451.x")</f>
        <v>http://dx.doi.org/10.1111/j.1444-2906.2007.01451.x</v>
      </c>
      <c r="BG825" t="s">
        <v>74</v>
      </c>
      <c r="BH825" t="s">
        <v>74</v>
      </c>
      <c r="BI825">
        <v>9</v>
      </c>
      <c r="BJ825" t="s">
        <v>2808</v>
      </c>
      <c r="BK825" t="s">
        <v>97</v>
      </c>
      <c r="BL825" t="s">
        <v>2808</v>
      </c>
      <c r="BM825" t="s">
        <v>13600</v>
      </c>
      <c r="BN825" t="s">
        <v>74</v>
      </c>
      <c r="BO825" t="s">
        <v>74</v>
      </c>
      <c r="BP825" t="s">
        <v>74</v>
      </c>
      <c r="BQ825" t="s">
        <v>74</v>
      </c>
      <c r="BR825" t="s">
        <v>100</v>
      </c>
      <c r="BS825" t="s">
        <v>13601</v>
      </c>
      <c r="BT825" t="str">
        <f>HYPERLINK("https%3A%2F%2Fwww.webofscience.com%2Fwos%2Fwoscc%2Ffull-record%2FWOS:000249991500028","View Full Record in Web of Science")</f>
        <v>View Full Record in Web of Science</v>
      </c>
    </row>
    <row r="826" spans="1:72" x14ac:dyDescent="0.15">
      <c r="A826" t="s">
        <v>72</v>
      </c>
      <c r="B826" t="s">
        <v>13602</v>
      </c>
      <c r="C826" t="s">
        <v>74</v>
      </c>
      <c r="D826" t="s">
        <v>74</v>
      </c>
      <c r="E826" t="s">
        <v>74</v>
      </c>
      <c r="F826" t="s">
        <v>13603</v>
      </c>
      <c r="G826" t="s">
        <v>74</v>
      </c>
      <c r="H826" t="s">
        <v>74</v>
      </c>
      <c r="I826" t="s">
        <v>13604</v>
      </c>
      <c r="J826" t="s">
        <v>13605</v>
      </c>
      <c r="K826" t="s">
        <v>74</v>
      </c>
      <c r="L826" t="s">
        <v>74</v>
      </c>
      <c r="M826" t="s">
        <v>78</v>
      </c>
      <c r="N826" t="s">
        <v>106</v>
      </c>
      <c r="O826" t="s">
        <v>74</v>
      </c>
      <c r="P826" t="s">
        <v>74</v>
      </c>
      <c r="Q826" t="s">
        <v>74</v>
      </c>
      <c r="R826" t="s">
        <v>74</v>
      </c>
      <c r="S826" t="s">
        <v>74</v>
      </c>
      <c r="T826" t="s">
        <v>13606</v>
      </c>
      <c r="U826" t="s">
        <v>13607</v>
      </c>
      <c r="V826" t="s">
        <v>13608</v>
      </c>
      <c r="W826" t="s">
        <v>13609</v>
      </c>
      <c r="X826" t="s">
        <v>13610</v>
      </c>
      <c r="Y826" t="s">
        <v>13611</v>
      </c>
      <c r="Z826" t="s">
        <v>13612</v>
      </c>
      <c r="AA826" t="s">
        <v>13613</v>
      </c>
      <c r="AB826" t="s">
        <v>13614</v>
      </c>
      <c r="AC826" t="s">
        <v>74</v>
      </c>
      <c r="AD826" t="s">
        <v>74</v>
      </c>
      <c r="AE826" t="s">
        <v>74</v>
      </c>
      <c r="AF826" t="s">
        <v>74</v>
      </c>
      <c r="AG826">
        <v>113</v>
      </c>
      <c r="AH826">
        <v>62</v>
      </c>
      <c r="AI826">
        <v>69</v>
      </c>
      <c r="AJ826">
        <v>1</v>
      </c>
      <c r="AK826">
        <v>82</v>
      </c>
      <c r="AL826" t="s">
        <v>1219</v>
      </c>
      <c r="AM826" t="s">
        <v>89</v>
      </c>
      <c r="AN826" t="s">
        <v>90</v>
      </c>
      <c r="AO826" t="s">
        <v>13615</v>
      </c>
      <c r="AP826" t="s">
        <v>13616</v>
      </c>
      <c r="AQ826" t="s">
        <v>74</v>
      </c>
      <c r="AR826" t="s">
        <v>13617</v>
      </c>
      <c r="AS826" t="s">
        <v>13618</v>
      </c>
      <c r="AT826" t="s">
        <v>13402</v>
      </c>
      <c r="AU826">
        <v>2007</v>
      </c>
      <c r="AV826">
        <v>21</v>
      </c>
      <c r="AW826">
        <v>5</v>
      </c>
      <c r="AX826" t="s">
        <v>74</v>
      </c>
      <c r="AY826" t="s">
        <v>74</v>
      </c>
      <c r="AZ826" t="s">
        <v>74</v>
      </c>
      <c r="BA826" t="s">
        <v>74</v>
      </c>
      <c r="BB826">
        <v>922</v>
      </c>
      <c r="BC826">
        <v>935</v>
      </c>
      <c r="BD826" t="s">
        <v>74</v>
      </c>
      <c r="BE826" t="s">
        <v>13619</v>
      </c>
      <c r="BF826" t="str">
        <f>HYPERLINK("http://dx.doi.org/10.1111/j.1365-2435.2007.01295.x","http://dx.doi.org/10.1111/j.1365-2435.2007.01295.x")</f>
        <v>http://dx.doi.org/10.1111/j.1365-2435.2007.01295.x</v>
      </c>
      <c r="BG826" t="s">
        <v>74</v>
      </c>
      <c r="BH826" t="s">
        <v>74</v>
      </c>
      <c r="BI826">
        <v>14</v>
      </c>
      <c r="BJ826" t="s">
        <v>297</v>
      </c>
      <c r="BK826" t="s">
        <v>97</v>
      </c>
      <c r="BL826" t="s">
        <v>275</v>
      </c>
      <c r="BM826" t="s">
        <v>13620</v>
      </c>
      <c r="BN826" t="s">
        <v>74</v>
      </c>
      <c r="BO826" t="s">
        <v>1050</v>
      </c>
      <c r="BP826" t="s">
        <v>74</v>
      </c>
      <c r="BQ826" t="s">
        <v>74</v>
      </c>
      <c r="BR826" t="s">
        <v>100</v>
      </c>
      <c r="BS826" t="s">
        <v>13621</v>
      </c>
      <c r="BT826" t="str">
        <f>HYPERLINK("https%3A%2F%2Fwww.webofscience.com%2Fwos%2Fwoscc%2Ffull-record%2FWOS:000249165000012","View Full Record in Web of Science")</f>
        <v>View Full Record in Web of Science</v>
      </c>
    </row>
    <row r="827" spans="1:72" x14ac:dyDescent="0.15">
      <c r="A827" t="s">
        <v>72</v>
      </c>
      <c r="B827" t="s">
        <v>13622</v>
      </c>
      <c r="C827" t="s">
        <v>74</v>
      </c>
      <c r="D827" t="s">
        <v>74</v>
      </c>
      <c r="E827" t="s">
        <v>74</v>
      </c>
      <c r="F827" t="s">
        <v>13623</v>
      </c>
      <c r="G827" t="s">
        <v>74</v>
      </c>
      <c r="H827" t="s">
        <v>74</v>
      </c>
      <c r="I827" t="s">
        <v>13624</v>
      </c>
      <c r="J827" t="s">
        <v>9943</v>
      </c>
      <c r="K827" t="s">
        <v>74</v>
      </c>
      <c r="L827" t="s">
        <v>74</v>
      </c>
      <c r="M827" t="s">
        <v>78</v>
      </c>
      <c r="N827" t="s">
        <v>79</v>
      </c>
      <c r="O827" t="s">
        <v>74</v>
      </c>
      <c r="P827" t="s">
        <v>74</v>
      </c>
      <c r="Q827" t="s">
        <v>74</v>
      </c>
      <c r="R827" t="s">
        <v>74</v>
      </c>
      <c r="S827" t="s">
        <v>74</v>
      </c>
      <c r="T827" t="s">
        <v>74</v>
      </c>
      <c r="U827" t="s">
        <v>74</v>
      </c>
      <c r="V827" t="s">
        <v>13625</v>
      </c>
      <c r="W827" t="s">
        <v>13626</v>
      </c>
      <c r="X827" t="s">
        <v>13627</v>
      </c>
      <c r="Y827" t="s">
        <v>13628</v>
      </c>
      <c r="Z827" t="s">
        <v>13629</v>
      </c>
      <c r="AA827" t="s">
        <v>13630</v>
      </c>
      <c r="AB827" t="s">
        <v>13631</v>
      </c>
      <c r="AC827" t="s">
        <v>74</v>
      </c>
      <c r="AD827" t="s">
        <v>74</v>
      </c>
      <c r="AE827" t="s">
        <v>74</v>
      </c>
      <c r="AF827" t="s">
        <v>74</v>
      </c>
      <c r="AG827">
        <v>15</v>
      </c>
      <c r="AH827">
        <v>7</v>
      </c>
      <c r="AI827">
        <v>8</v>
      </c>
      <c r="AJ827">
        <v>0</v>
      </c>
      <c r="AK827">
        <v>4</v>
      </c>
      <c r="AL827" t="s">
        <v>9863</v>
      </c>
      <c r="AM827" t="s">
        <v>662</v>
      </c>
      <c r="AN827" t="s">
        <v>9864</v>
      </c>
      <c r="AO827" t="s">
        <v>9951</v>
      </c>
      <c r="AP827" t="s">
        <v>74</v>
      </c>
      <c r="AQ827" t="s">
        <v>74</v>
      </c>
      <c r="AR827" t="s">
        <v>9953</v>
      </c>
      <c r="AS827" t="s">
        <v>9954</v>
      </c>
      <c r="AT827" t="s">
        <v>13402</v>
      </c>
      <c r="AU827">
        <v>2007</v>
      </c>
      <c r="AV827">
        <v>47</v>
      </c>
      <c r="AW827">
        <v>5</v>
      </c>
      <c r="AX827" t="s">
        <v>74</v>
      </c>
      <c r="AY827" t="s">
        <v>74</v>
      </c>
      <c r="AZ827" t="s">
        <v>74</v>
      </c>
      <c r="BA827" t="s">
        <v>74</v>
      </c>
      <c r="BB827">
        <v>636</v>
      </c>
      <c r="BC827">
        <v>646</v>
      </c>
      <c r="BD827" t="s">
        <v>74</v>
      </c>
      <c r="BE827" t="s">
        <v>13632</v>
      </c>
      <c r="BF827" t="str">
        <f>HYPERLINK("http://dx.doi.org/10.1134/S001679320705012X","http://dx.doi.org/10.1134/S001679320705012X")</f>
        <v>http://dx.doi.org/10.1134/S001679320705012X</v>
      </c>
      <c r="BG827" t="s">
        <v>74</v>
      </c>
      <c r="BH827" t="s">
        <v>74</v>
      </c>
      <c r="BI827">
        <v>11</v>
      </c>
      <c r="BJ827" t="s">
        <v>553</v>
      </c>
      <c r="BK827" t="s">
        <v>97</v>
      </c>
      <c r="BL827" t="s">
        <v>553</v>
      </c>
      <c r="BM827" t="s">
        <v>13633</v>
      </c>
      <c r="BN827" t="s">
        <v>74</v>
      </c>
      <c r="BO827" t="s">
        <v>74</v>
      </c>
      <c r="BP827" t="s">
        <v>74</v>
      </c>
      <c r="BQ827" t="s">
        <v>74</v>
      </c>
      <c r="BR827" t="s">
        <v>100</v>
      </c>
      <c r="BS827" t="s">
        <v>13634</v>
      </c>
      <c r="BT827" t="str">
        <f>HYPERLINK("https%3A%2F%2Fwww.webofscience.com%2Fwos%2Fwoscc%2Ffull-record%2FWOS:000250235300012","View Full Record in Web of Science")</f>
        <v>View Full Record in Web of Science</v>
      </c>
    </row>
    <row r="828" spans="1:72" x14ac:dyDescent="0.15">
      <c r="A828" t="s">
        <v>72</v>
      </c>
      <c r="B828" t="s">
        <v>13635</v>
      </c>
      <c r="C828" t="s">
        <v>74</v>
      </c>
      <c r="D828" t="s">
        <v>74</v>
      </c>
      <c r="E828" t="s">
        <v>74</v>
      </c>
      <c r="F828" t="s">
        <v>13636</v>
      </c>
      <c r="G828" t="s">
        <v>74</v>
      </c>
      <c r="H828" t="s">
        <v>74</v>
      </c>
      <c r="I828" t="s">
        <v>13637</v>
      </c>
      <c r="J828" t="s">
        <v>13638</v>
      </c>
      <c r="K828" t="s">
        <v>74</v>
      </c>
      <c r="L828" t="s">
        <v>74</v>
      </c>
      <c r="M828" t="s">
        <v>78</v>
      </c>
      <c r="N828" t="s">
        <v>79</v>
      </c>
      <c r="O828" t="s">
        <v>74</v>
      </c>
      <c r="P828" t="s">
        <v>74</v>
      </c>
      <c r="Q828" t="s">
        <v>74</v>
      </c>
      <c r="R828" t="s">
        <v>74</v>
      </c>
      <c r="S828" t="s">
        <v>74</v>
      </c>
      <c r="T828" t="s">
        <v>13639</v>
      </c>
      <c r="U828" t="s">
        <v>13640</v>
      </c>
      <c r="V828" t="s">
        <v>13641</v>
      </c>
      <c r="W828" t="s">
        <v>13642</v>
      </c>
      <c r="X828" t="s">
        <v>13643</v>
      </c>
      <c r="Y828" t="s">
        <v>13644</v>
      </c>
      <c r="Z828" t="s">
        <v>13645</v>
      </c>
      <c r="AA828" t="s">
        <v>13646</v>
      </c>
      <c r="AB828" t="s">
        <v>13647</v>
      </c>
      <c r="AC828" t="s">
        <v>12038</v>
      </c>
      <c r="AD828" t="s">
        <v>444</v>
      </c>
      <c r="AE828" t="s">
        <v>74</v>
      </c>
      <c r="AF828" t="s">
        <v>74</v>
      </c>
      <c r="AG828">
        <v>34</v>
      </c>
      <c r="AH828">
        <v>15</v>
      </c>
      <c r="AI828">
        <v>16</v>
      </c>
      <c r="AJ828">
        <v>0</v>
      </c>
      <c r="AK828">
        <v>9</v>
      </c>
      <c r="AL828" t="s">
        <v>2678</v>
      </c>
      <c r="AM828" t="s">
        <v>522</v>
      </c>
      <c r="AN828" t="s">
        <v>4192</v>
      </c>
      <c r="AO828" t="s">
        <v>13648</v>
      </c>
      <c r="AP828" t="s">
        <v>13649</v>
      </c>
      <c r="AQ828" t="s">
        <v>74</v>
      </c>
      <c r="AR828" t="s">
        <v>13650</v>
      </c>
      <c r="AS828" t="s">
        <v>13651</v>
      </c>
      <c r="AT828" t="s">
        <v>13402</v>
      </c>
      <c r="AU828">
        <v>2007</v>
      </c>
      <c r="AV828">
        <v>171</v>
      </c>
      <c r="AW828">
        <v>1</v>
      </c>
      <c r="AX828" t="s">
        <v>74</v>
      </c>
      <c r="AY828" t="s">
        <v>74</v>
      </c>
      <c r="AZ828" t="s">
        <v>74</v>
      </c>
      <c r="BA828" t="s">
        <v>74</v>
      </c>
      <c r="BB828">
        <v>119</v>
      </c>
      <c r="BC828">
        <v>126</v>
      </c>
      <c r="BD828" t="s">
        <v>74</v>
      </c>
      <c r="BE828" t="s">
        <v>13652</v>
      </c>
      <c r="BF828" t="str">
        <f>HYPERLINK("http://dx.doi.org/10.1111/j.1365-246X.2007.03516.x","http://dx.doi.org/10.1111/j.1365-246X.2007.03516.x")</f>
        <v>http://dx.doi.org/10.1111/j.1365-246X.2007.03516.x</v>
      </c>
      <c r="BG828" t="s">
        <v>74</v>
      </c>
      <c r="BH828" t="s">
        <v>74</v>
      </c>
      <c r="BI828">
        <v>8</v>
      </c>
      <c r="BJ828" t="s">
        <v>553</v>
      </c>
      <c r="BK828" t="s">
        <v>97</v>
      </c>
      <c r="BL828" t="s">
        <v>553</v>
      </c>
      <c r="BM828" t="s">
        <v>13653</v>
      </c>
      <c r="BN828" t="s">
        <v>74</v>
      </c>
      <c r="BO828" t="s">
        <v>610</v>
      </c>
      <c r="BP828" t="s">
        <v>74</v>
      </c>
      <c r="BQ828" t="s">
        <v>74</v>
      </c>
      <c r="BR828" t="s">
        <v>100</v>
      </c>
      <c r="BS828" t="s">
        <v>13654</v>
      </c>
      <c r="BT828" t="str">
        <f>HYPERLINK("https%3A%2F%2Fwww.webofscience.com%2Fwos%2Fwoscc%2Ffull-record%2FWOS:000250079100009","View Full Record in Web of Science")</f>
        <v>View Full Record in Web of Science</v>
      </c>
    </row>
    <row r="829" spans="1:72" x14ac:dyDescent="0.15">
      <c r="A829" t="s">
        <v>72</v>
      </c>
      <c r="B829" t="s">
        <v>13655</v>
      </c>
      <c r="C829" t="s">
        <v>74</v>
      </c>
      <c r="D829" t="s">
        <v>74</v>
      </c>
      <c r="E829" t="s">
        <v>74</v>
      </c>
      <c r="F829" t="s">
        <v>13656</v>
      </c>
      <c r="G829" t="s">
        <v>74</v>
      </c>
      <c r="H829" t="s">
        <v>74</v>
      </c>
      <c r="I829" t="s">
        <v>13657</v>
      </c>
      <c r="J829" t="s">
        <v>13638</v>
      </c>
      <c r="K829" t="s">
        <v>74</v>
      </c>
      <c r="L829" t="s">
        <v>74</v>
      </c>
      <c r="M829" t="s">
        <v>78</v>
      </c>
      <c r="N829" t="s">
        <v>79</v>
      </c>
      <c r="O829" t="s">
        <v>74</v>
      </c>
      <c r="P829" t="s">
        <v>74</v>
      </c>
      <c r="Q829" t="s">
        <v>74</v>
      </c>
      <c r="R829" t="s">
        <v>74</v>
      </c>
      <c r="S829" t="s">
        <v>74</v>
      </c>
      <c r="T829" t="s">
        <v>13658</v>
      </c>
      <c r="U829" t="s">
        <v>13659</v>
      </c>
      <c r="V829" t="s">
        <v>13660</v>
      </c>
      <c r="W829" t="s">
        <v>13661</v>
      </c>
      <c r="X829" t="s">
        <v>13662</v>
      </c>
      <c r="Y829" t="s">
        <v>13663</v>
      </c>
      <c r="Z829" t="s">
        <v>13664</v>
      </c>
      <c r="AA829" t="s">
        <v>13665</v>
      </c>
      <c r="AB829" t="s">
        <v>13666</v>
      </c>
      <c r="AC829" t="s">
        <v>74</v>
      </c>
      <c r="AD829" t="s">
        <v>74</v>
      </c>
      <c r="AE829" t="s">
        <v>74</v>
      </c>
      <c r="AF829" t="s">
        <v>74</v>
      </c>
      <c r="AG829">
        <v>28</v>
      </c>
      <c r="AH829">
        <v>6</v>
      </c>
      <c r="AI829">
        <v>8</v>
      </c>
      <c r="AJ829">
        <v>0</v>
      </c>
      <c r="AK829">
        <v>1</v>
      </c>
      <c r="AL829" t="s">
        <v>2678</v>
      </c>
      <c r="AM829" t="s">
        <v>522</v>
      </c>
      <c r="AN829" t="s">
        <v>4192</v>
      </c>
      <c r="AO829" t="s">
        <v>13648</v>
      </c>
      <c r="AP829" t="s">
        <v>13649</v>
      </c>
      <c r="AQ829" t="s">
        <v>74</v>
      </c>
      <c r="AR829" t="s">
        <v>13650</v>
      </c>
      <c r="AS829" t="s">
        <v>13651</v>
      </c>
      <c r="AT829" t="s">
        <v>13402</v>
      </c>
      <c r="AU829">
        <v>2007</v>
      </c>
      <c r="AV829">
        <v>171</v>
      </c>
      <c r="AW829">
        <v>1</v>
      </c>
      <c r="AX829" t="s">
        <v>74</v>
      </c>
      <c r="AY829" t="s">
        <v>74</v>
      </c>
      <c r="AZ829" t="s">
        <v>74</v>
      </c>
      <c r="BA829" t="s">
        <v>74</v>
      </c>
      <c r="BB829">
        <v>339</v>
      </c>
      <c r="BC829">
        <v>351</v>
      </c>
      <c r="BD829" t="s">
        <v>74</v>
      </c>
      <c r="BE829" t="s">
        <v>13667</v>
      </c>
      <c r="BF829" t="str">
        <f>HYPERLINK("http://dx.doi.org/10.1111/j.1365-246X.2007.03519.x","http://dx.doi.org/10.1111/j.1365-246X.2007.03519.x")</f>
        <v>http://dx.doi.org/10.1111/j.1365-246X.2007.03519.x</v>
      </c>
      <c r="BG829" t="s">
        <v>74</v>
      </c>
      <c r="BH829" t="s">
        <v>74</v>
      </c>
      <c r="BI829">
        <v>13</v>
      </c>
      <c r="BJ829" t="s">
        <v>553</v>
      </c>
      <c r="BK829" t="s">
        <v>97</v>
      </c>
      <c r="BL829" t="s">
        <v>553</v>
      </c>
      <c r="BM829" t="s">
        <v>13653</v>
      </c>
      <c r="BN829" t="s">
        <v>74</v>
      </c>
      <c r="BO829" t="s">
        <v>74</v>
      </c>
      <c r="BP829" t="s">
        <v>74</v>
      </c>
      <c r="BQ829" t="s">
        <v>74</v>
      </c>
      <c r="BR829" t="s">
        <v>100</v>
      </c>
      <c r="BS829" t="s">
        <v>13668</v>
      </c>
      <c r="BT829" t="str">
        <f>HYPERLINK("https%3A%2F%2Fwww.webofscience.com%2Fwos%2Fwoscc%2Ffull-record%2FWOS:000250079100026","View Full Record in Web of Science")</f>
        <v>View Full Record in Web of Science</v>
      </c>
    </row>
    <row r="830" spans="1:72" x14ac:dyDescent="0.15">
      <c r="A830" t="s">
        <v>72</v>
      </c>
      <c r="B830" t="s">
        <v>13669</v>
      </c>
      <c r="C830" t="s">
        <v>74</v>
      </c>
      <c r="D830" t="s">
        <v>74</v>
      </c>
      <c r="E830" t="s">
        <v>74</v>
      </c>
      <c r="F830" t="s">
        <v>13670</v>
      </c>
      <c r="G830" t="s">
        <v>74</v>
      </c>
      <c r="H830" t="s">
        <v>74</v>
      </c>
      <c r="I830" t="s">
        <v>13671</v>
      </c>
      <c r="J830" t="s">
        <v>4415</v>
      </c>
      <c r="K830" t="s">
        <v>74</v>
      </c>
      <c r="L830" t="s">
        <v>74</v>
      </c>
      <c r="M830" t="s">
        <v>78</v>
      </c>
      <c r="N830" t="s">
        <v>79</v>
      </c>
      <c r="O830" t="s">
        <v>74</v>
      </c>
      <c r="P830" t="s">
        <v>74</v>
      </c>
      <c r="Q830" t="s">
        <v>74</v>
      </c>
      <c r="R830" t="s">
        <v>74</v>
      </c>
      <c r="S830" t="s">
        <v>74</v>
      </c>
      <c r="T830" t="s">
        <v>13672</v>
      </c>
      <c r="U830" t="s">
        <v>13673</v>
      </c>
      <c r="V830" t="s">
        <v>13674</v>
      </c>
      <c r="W830" t="s">
        <v>13675</v>
      </c>
      <c r="X830" t="s">
        <v>13676</v>
      </c>
      <c r="Y830" t="s">
        <v>13677</v>
      </c>
      <c r="Z830" t="s">
        <v>13678</v>
      </c>
      <c r="AA830" t="s">
        <v>13679</v>
      </c>
      <c r="AB830" t="s">
        <v>13680</v>
      </c>
      <c r="AC830" t="s">
        <v>74</v>
      </c>
      <c r="AD830" t="s">
        <v>74</v>
      </c>
      <c r="AE830" t="s">
        <v>74</v>
      </c>
      <c r="AF830" t="s">
        <v>74</v>
      </c>
      <c r="AG830">
        <v>60</v>
      </c>
      <c r="AH830">
        <v>46</v>
      </c>
      <c r="AI830">
        <v>52</v>
      </c>
      <c r="AJ830">
        <v>0</v>
      </c>
      <c r="AK830">
        <v>20</v>
      </c>
      <c r="AL830" t="s">
        <v>265</v>
      </c>
      <c r="AM830" t="s">
        <v>266</v>
      </c>
      <c r="AN830" t="s">
        <v>267</v>
      </c>
      <c r="AO830" t="s">
        <v>4425</v>
      </c>
      <c r="AP830" t="s">
        <v>4426</v>
      </c>
      <c r="AQ830" t="s">
        <v>74</v>
      </c>
      <c r="AR830" t="s">
        <v>4427</v>
      </c>
      <c r="AS830" t="s">
        <v>4428</v>
      </c>
      <c r="AT830" t="s">
        <v>13402</v>
      </c>
      <c r="AU830">
        <v>2007</v>
      </c>
      <c r="AV830">
        <v>59</v>
      </c>
      <c r="AW830" t="s">
        <v>150</v>
      </c>
      <c r="AX830" t="s">
        <v>74</v>
      </c>
      <c r="AY830" t="s">
        <v>74</v>
      </c>
      <c r="AZ830" t="s">
        <v>74</v>
      </c>
      <c r="BA830" t="s">
        <v>74</v>
      </c>
      <c r="BB830">
        <v>49</v>
      </c>
      <c r="BC830">
        <v>66</v>
      </c>
      <c r="BD830" t="s">
        <v>74</v>
      </c>
      <c r="BE830" t="s">
        <v>13681</v>
      </c>
      <c r="BF830" t="str">
        <f>HYPERLINK("http://dx.doi.org/10.1016/j.gloplacha.2006.11.034","http://dx.doi.org/10.1016/j.gloplacha.2006.11.034")</f>
        <v>http://dx.doi.org/10.1016/j.gloplacha.2006.11.034</v>
      </c>
      <c r="BG830" t="s">
        <v>74</v>
      </c>
      <c r="BH830" t="s">
        <v>74</v>
      </c>
      <c r="BI830">
        <v>18</v>
      </c>
      <c r="BJ830" t="s">
        <v>2748</v>
      </c>
      <c r="BK830" t="s">
        <v>97</v>
      </c>
      <c r="BL830" t="s">
        <v>2749</v>
      </c>
      <c r="BM830" t="s">
        <v>13682</v>
      </c>
      <c r="BN830" t="s">
        <v>74</v>
      </c>
      <c r="BO830" t="s">
        <v>74</v>
      </c>
      <c r="BP830" t="s">
        <v>74</v>
      </c>
      <c r="BQ830" t="s">
        <v>74</v>
      </c>
      <c r="BR830" t="s">
        <v>100</v>
      </c>
      <c r="BS830" t="s">
        <v>13683</v>
      </c>
      <c r="BT830" t="str">
        <f>HYPERLINK("https%3A%2F%2Fwww.webofscience.com%2Fwos%2Fwoscc%2Ffull-record%2FWOS:000251015900006","View Full Record in Web of Science")</f>
        <v>View Full Record in Web of Science</v>
      </c>
    </row>
    <row r="831" spans="1:72" x14ac:dyDescent="0.15">
      <c r="A831" t="s">
        <v>72</v>
      </c>
      <c r="B831" t="s">
        <v>13684</v>
      </c>
      <c r="C831" t="s">
        <v>74</v>
      </c>
      <c r="D831" t="s">
        <v>74</v>
      </c>
      <c r="E831" t="s">
        <v>74</v>
      </c>
      <c r="F831" t="s">
        <v>13685</v>
      </c>
      <c r="G831" t="s">
        <v>74</v>
      </c>
      <c r="H831" t="s">
        <v>74</v>
      </c>
      <c r="I831" t="s">
        <v>13686</v>
      </c>
      <c r="J831" t="s">
        <v>4415</v>
      </c>
      <c r="K831" t="s">
        <v>74</v>
      </c>
      <c r="L831" t="s">
        <v>74</v>
      </c>
      <c r="M831" t="s">
        <v>78</v>
      </c>
      <c r="N831" t="s">
        <v>79</v>
      </c>
      <c r="O831" t="s">
        <v>74</v>
      </c>
      <c r="P831" t="s">
        <v>74</v>
      </c>
      <c r="Q831" t="s">
        <v>74</v>
      </c>
      <c r="R831" t="s">
        <v>74</v>
      </c>
      <c r="S831" t="s">
        <v>74</v>
      </c>
      <c r="T831" t="s">
        <v>13687</v>
      </c>
      <c r="U831" t="s">
        <v>13688</v>
      </c>
      <c r="V831" t="s">
        <v>13689</v>
      </c>
      <c r="W831" t="s">
        <v>13690</v>
      </c>
      <c r="X831" t="s">
        <v>13691</v>
      </c>
      <c r="Y831" t="s">
        <v>13692</v>
      </c>
      <c r="Z831" t="s">
        <v>13693</v>
      </c>
      <c r="AA831" t="s">
        <v>74</v>
      </c>
      <c r="AB831" t="s">
        <v>13694</v>
      </c>
      <c r="AC831" t="s">
        <v>74</v>
      </c>
      <c r="AD831" t="s">
        <v>74</v>
      </c>
      <c r="AE831" t="s">
        <v>74</v>
      </c>
      <c r="AF831" t="s">
        <v>74</v>
      </c>
      <c r="AG831">
        <v>69</v>
      </c>
      <c r="AH831">
        <v>41</v>
      </c>
      <c r="AI831">
        <v>43</v>
      </c>
      <c r="AJ831">
        <v>1</v>
      </c>
      <c r="AK831">
        <v>15</v>
      </c>
      <c r="AL831" t="s">
        <v>506</v>
      </c>
      <c r="AM831" t="s">
        <v>266</v>
      </c>
      <c r="AN831" t="s">
        <v>507</v>
      </c>
      <c r="AO831" t="s">
        <v>4425</v>
      </c>
      <c r="AP831" t="s">
        <v>4426</v>
      </c>
      <c r="AQ831" t="s">
        <v>74</v>
      </c>
      <c r="AR831" t="s">
        <v>4427</v>
      </c>
      <c r="AS831" t="s">
        <v>4428</v>
      </c>
      <c r="AT831" t="s">
        <v>13402</v>
      </c>
      <c r="AU831">
        <v>2007</v>
      </c>
      <c r="AV831">
        <v>59</v>
      </c>
      <c r="AW831" t="s">
        <v>150</v>
      </c>
      <c r="AX831" t="s">
        <v>74</v>
      </c>
      <c r="AY831" t="s">
        <v>74</v>
      </c>
      <c r="AZ831" t="s">
        <v>74</v>
      </c>
      <c r="BA831" t="s">
        <v>74</v>
      </c>
      <c r="BB831">
        <v>159</v>
      </c>
      <c r="BC831">
        <v>174</v>
      </c>
      <c r="BD831" t="s">
        <v>74</v>
      </c>
      <c r="BE831" t="s">
        <v>13695</v>
      </c>
      <c r="BF831" t="str">
        <f>HYPERLINK("http://dx.doi.org/10.1016/j.gloplacha.2006.11.022","http://dx.doi.org/10.1016/j.gloplacha.2006.11.022")</f>
        <v>http://dx.doi.org/10.1016/j.gloplacha.2006.11.022</v>
      </c>
      <c r="BG831" t="s">
        <v>74</v>
      </c>
      <c r="BH831" t="s">
        <v>74</v>
      </c>
      <c r="BI831">
        <v>16</v>
      </c>
      <c r="BJ831" t="s">
        <v>2748</v>
      </c>
      <c r="BK831" t="s">
        <v>97</v>
      </c>
      <c r="BL831" t="s">
        <v>2749</v>
      </c>
      <c r="BM831" t="s">
        <v>13682</v>
      </c>
      <c r="BN831" t="s">
        <v>74</v>
      </c>
      <c r="BO831" t="s">
        <v>74</v>
      </c>
      <c r="BP831" t="s">
        <v>74</v>
      </c>
      <c r="BQ831" t="s">
        <v>74</v>
      </c>
      <c r="BR831" t="s">
        <v>100</v>
      </c>
      <c r="BS831" t="s">
        <v>13696</v>
      </c>
      <c r="BT831" t="str">
        <f>HYPERLINK("https%3A%2F%2Fwww.webofscience.com%2Fwos%2Fwoscc%2Ffull-record%2FWOS:000251015900015","View Full Record in Web of Science")</f>
        <v>View Full Record in Web of Science</v>
      </c>
    </row>
    <row r="832" spans="1:72" x14ac:dyDescent="0.15">
      <c r="A832" t="s">
        <v>72</v>
      </c>
      <c r="B832" t="s">
        <v>13697</v>
      </c>
      <c r="C832" t="s">
        <v>74</v>
      </c>
      <c r="D832" t="s">
        <v>74</v>
      </c>
      <c r="E832" t="s">
        <v>74</v>
      </c>
      <c r="F832" t="s">
        <v>13698</v>
      </c>
      <c r="G832" t="s">
        <v>74</v>
      </c>
      <c r="H832" t="s">
        <v>74</v>
      </c>
      <c r="I832" t="s">
        <v>13699</v>
      </c>
      <c r="J832" t="s">
        <v>4415</v>
      </c>
      <c r="K832" t="s">
        <v>74</v>
      </c>
      <c r="L832" t="s">
        <v>74</v>
      </c>
      <c r="M832" t="s">
        <v>78</v>
      </c>
      <c r="N832" t="s">
        <v>79</v>
      </c>
      <c r="O832" t="s">
        <v>74</v>
      </c>
      <c r="P832" t="s">
        <v>74</v>
      </c>
      <c r="Q832" t="s">
        <v>74</v>
      </c>
      <c r="R832" t="s">
        <v>74</v>
      </c>
      <c r="S832" t="s">
        <v>74</v>
      </c>
      <c r="T832" t="s">
        <v>13700</v>
      </c>
      <c r="U832" t="s">
        <v>13701</v>
      </c>
      <c r="V832" t="s">
        <v>13702</v>
      </c>
      <c r="W832" t="s">
        <v>13703</v>
      </c>
      <c r="X832" t="s">
        <v>13704</v>
      </c>
      <c r="Y832" t="s">
        <v>13705</v>
      </c>
      <c r="Z832" t="s">
        <v>13706</v>
      </c>
      <c r="AA832" t="s">
        <v>74</v>
      </c>
      <c r="AB832" t="s">
        <v>74</v>
      </c>
      <c r="AC832" t="s">
        <v>74</v>
      </c>
      <c r="AD832" t="s">
        <v>74</v>
      </c>
      <c r="AE832" t="s">
        <v>74</v>
      </c>
      <c r="AF832" t="s">
        <v>74</v>
      </c>
      <c r="AG832">
        <v>13</v>
      </c>
      <c r="AH832">
        <v>24</v>
      </c>
      <c r="AI832">
        <v>26</v>
      </c>
      <c r="AJ832">
        <v>0</v>
      </c>
      <c r="AK832">
        <v>20</v>
      </c>
      <c r="AL832" t="s">
        <v>506</v>
      </c>
      <c r="AM832" t="s">
        <v>266</v>
      </c>
      <c r="AN832" t="s">
        <v>507</v>
      </c>
      <c r="AO832" t="s">
        <v>4425</v>
      </c>
      <c r="AP832" t="s">
        <v>74</v>
      </c>
      <c r="AQ832" t="s">
        <v>74</v>
      </c>
      <c r="AR832" t="s">
        <v>4427</v>
      </c>
      <c r="AS832" t="s">
        <v>4428</v>
      </c>
      <c r="AT832" t="s">
        <v>13402</v>
      </c>
      <c r="AU832">
        <v>2007</v>
      </c>
      <c r="AV832">
        <v>59</v>
      </c>
      <c r="AW832" t="s">
        <v>150</v>
      </c>
      <c r="AX832" t="s">
        <v>74</v>
      </c>
      <c r="AY832" t="s">
        <v>74</v>
      </c>
      <c r="AZ832" t="s">
        <v>74</v>
      </c>
      <c r="BA832" t="s">
        <v>74</v>
      </c>
      <c r="BB832">
        <v>217</v>
      </c>
      <c r="BC832">
        <v>224</v>
      </c>
      <c r="BD832" t="s">
        <v>74</v>
      </c>
      <c r="BE832" t="s">
        <v>13707</v>
      </c>
      <c r="BF832" t="str">
        <f>HYPERLINK("http://dx.doi.org/10.1016/j.gloplacha.2006.11.017","http://dx.doi.org/10.1016/j.gloplacha.2006.11.017")</f>
        <v>http://dx.doi.org/10.1016/j.gloplacha.2006.11.017</v>
      </c>
      <c r="BG832" t="s">
        <v>74</v>
      </c>
      <c r="BH832" t="s">
        <v>74</v>
      </c>
      <c r="BI832">
        <v>8</v>
      </c>
      <c r="BJ832" t="s">
        <v>2748</v>
      </c>
      <c r="BK832" t="s">
        <v>97</v>
      </c>
      <c r="BL832" t="s">
        <v>2749</v>
      </c>
      <c r="BM832" t="s">
        <v>13682</v>
      </c>
      <c r="BN832" t="s">
        <v>74</v>
      </c>
      <c r="BO832" t="s">
        <v>74</v>
      </c>
      <c r="BP832" t="s">
        <v>74</v>
      </c>
      <c r="BQ832" t="s">
        <v>74</v>
      </c>
      <c r="BR832" t="s">
        <v>100</v>
      </c>
      <c r="BS832" t="s">
        <v>13708</v>
      </c>
      <c r="BT832" t="str">
        <f>HYPERLINK("https%3A%2F%2Fwww.webofscience.com%2Fwos%2Fwoscc%2Ffull-record%2FWOS:000251015900019","View Full Record in Web of Science")</f>
        <v>View Full Record in Web of Science</v>
      </c>
    </row>
    <row r="833" spans="1:72" x14ac:dyDescent="0.15">
      <c r="A833" t="s">
        <v>72</v>
      </c>
      <c r="B833" t="s">
        <v>13709</v>
      </c>
      <c r="C833" t="s">
        <v>74</v>
      </c>
      <c r="D833" t="s">
        <v>74</v>
      </c>
      <c r="E833" t="s">
        <v>74</v>
      </c>
      <c r="F833" t="s">
        <v>13710</v>
      </c>
      <c r="G833" t="s">
        <v>74</v>
      </c>
      <c r="H833" t="s">
        <v>74</v>
      </c>
      <c r="I833" t="s">
        <v>13711</v>
      </c>
      <c r="J833" t="s">
        <v>12154</v>
      </c>
      <c r="K833" t="s">
        <v>74</v>
      </c>
      <c r="L833" t="s">
        <v>74</v>
      </c>
      <c r="M833" t="s">
        <v>78</v>
      </c>
      <c r="N833" t="s">
        <v>1602</v>
      </c>
      <c r="O833" t="s">
        <v>13712</v>
      </c>
      <c r="P833" t="s">
        <v>13713</v>
      </c>
      <c r="Q833" t="s">
        <v>13714</v>
      </c>
      <c r="R833" t="s">
        <v>74</v>
      </c>
      <c r="S833" t="s">
        <v>74</v>
      </c>
      <c r="T833" t="s">
        <v>13715</v>
      </c>
      <c r="U833" t="s">
        <v>13716</v>
      </c>
      <c r="V833" t="s">
        <v>13717</v>
      </c>
      <c r="W833" t="s">
        <v>13718</v>
      </c>
      <c r="X833" t="s">
        <v>74</v>
      </c>
      <c r="Y833" t="s">
        <v>13719</v>
      </c>
      <c r="Z833" t="s">
        <v>13720</v>
      </c>
      <c r="AA833" t="s">
        <v>74</v>
      </c>
      <c r="AB833" t="s">
        <v>74</v>
      </c>
      <c r="AC833" t="s">
        <v>74</v>
      </c>
      <c r="AD833" t="s">
        <v>74</v>
      </c>
      <c r="AE833" t="s">
        <v>74</v>
      </c>
      <c r="AF833" t="s">
        <v>74</v>
      </c>
      <c r="AG833">
        <v>124</v>
      </c>
      <c r="AH833">
        <v>35</v>
      </c>
      <c r="AI833">
        <v>40</v>
      </c>
      <c r="AJ833">
        <v>1</v>
      </c>
      <c r="AK833">
        <v>11</v>
      </c>
      <c r="AL833" t="s">
        <v>265</v>
      </c>
      <c r="AM833" t="s">
        <v>266</v>
      </c>
      <c r="AN833" t="s">
        <v>267</v>
      </c>
      <c r="AO833" t="s">
        <v>12164</v>
      </c>
      <c r="AP833" t="s">
        <v>12165</v>
      </c>
      <c r="AQ833" t="s">
        <v>74</v>
      </c>
      <c r="AR833" t="s">
        <v>12166</v>
      </c>
      <c r="AS833" t="s">
        <v>12167</v>
      </c>
      <c r="AT833" t="s">
        <v>13402</v>
      </c>
      <c r="AU833">
        <v>2007</v>
      </c>
      <c r="AV833">
        <v>12</v>
      </c>
      <c r="AW833">
        <v>3</v>
      </c>
      <c r="AX833" t="s">
        <v>74</v>
      </c>
      <c r="AY833" t="s">
        <v>74</v>
      </c>
      <c r="AZ833" t="s">
        <v>74</v>
      </c>
      <c r="BA833" t="s">
        <v>74</v>
      </c>
      <c r="BB833">
        <v>228</v>
      </c>
      <c r="BC833">
        <v>241</v>
      </c>
      <c r="BD833" t="s">
        <v>74</v>
      </c>
      <c r="BE833" t="s">
        <v>13721</v>
      </c>
      <c r="BF833" t="str">
        <f>HYPERLINK("http://dx.doi.org/10.1016/j.gr.2006.10.013","http://dx.doi.org/10.1016/j.gr.2006.10.013")</f>
        <v>http://dx.doi.org/10.1016/j.gr.2006.10.013</v>
      </c>
      <c r="BG833" t="s">
        <v>74</v>
      </c>
      <c r="BH833" t="s">
        <v>74</v>
      </c>
      <c r="BI833">
        <v>14</v>
      </c>
      <c r="BJ833" t="s">
        <v>96</v>
      </c>
      <c r="BK833" t="s">
        <v>1616</v>
      </c>
      <c r="BL833" t="s">
        <v>98</v>
      </c>
      <c r="BM833" t="s">
        <v>13722</v>
      </c>
      <c r="BN833" t="s">
        <v>74</v>
      </c>
      <c r="BO833" t="s">
        <v>74</v>
      </c>
      <c r="BP833" t="s">
        <v>74</v>
      </c>
      <c r="BQ833" t="s">
        <v>74</v>
      </c>
      <c r="BR833" t="s">
        <v>100</v>
      </c>
      <c r="BS833" t="s">
        <v>13723</v>
      </c>
      <c r="BT833" t="str">
        <f>HYPERLINK("https%3A%2F%2Fwww.webofscience.com%2Fwos%2Fwoscc%2Ffull-record%2FWOS:000249960300003","View Full Record in Web of Science")</f>
        <v>View Full Record in Web of Science</v>
      </c>
    </row>
    <row r="834" spans="1:72" x14ac:dyDescent="0.15">
      <c r="A834" t="s">
        <v>72</v>
      </c>
      <c r="B834" t="s">
        <v>13724</v>
      </c>
      <c r="C834" t="s">
        <v>74</v>
      </c>
      <c r="D834" t="s">
        <v>74</v>
      </c>
      <c r="E834" t="s">
        <v>74</v>
      </c>
      <c r="F834" t="s">
        <v>13725</v>
      </c>
      <c r="G834" t="s">
        <v>74</v>
      </c>
      <c r="H834" t="s">
        <v>74</v>
      </c>
      <c r="I834" t="s">
        <v>13726</v>
      </c>
      <c r="J834" t="s">
        <v>4812</v>
      </c>
      <c r="K834" t="s">
        <v>74</v>
      </c>
      <c r="L834" t="s">
        <v>74</v>
      </c>
      <c r="M834" t="s">
        <v>78</v>
      </c>
      <c r="N834" t="s">
        <v>79</v>
      </c>
      <c r="O834" t="s">
        <v>74</v>
      </c>
      <c r="P834" t="s">
        <v>74</v>
      </c>
      <c r="Q834" t="s">
        <v>74</v>
      </c>
      <c r="R834" t="s">
        <v>74</v>
      </c>
      <c r="S834" t="s">
        <v>74</v>
      </c>
      <c r="T834" t="s">
        <v>74</v>
      </c>
      <c r="U834" t="s">
        <v>13727</v>
      </c>
      <c r="V834" t="s">
        <v>13728</v>
      </c>
      <c r="W834" t="s">
        <v>13729</v>
      </c>
      <c r="X834" t="s">
        <v>13730</v>
      </c>
      <c r="Y834" t="s">
        <v>13731</v>
      </c>
      <c r="Z834" t="s">
        <v>13732</v>
      </c>
      <c r="AA834" t="s">
        <v>74</v>
      </c>
      <c r="AB834" t="s">
        <v>13733</v>
      </c>
      <c r="AC834" t="s">
        <v>74</v>
      </c>
      <c r="AD834" t="s">
        <v>74</v>
      </c>
      <c r="AE834" t="s">
        <v>74</v>
      </c>
      <c r="AF834" t="s">
        <v>74</v>
      </c>
      <c r="AG834">
        <v>26</v>
      </c>
      <c r="AH834">
        <v>35</v>
      </c>
      <c r="AI834">
        <v>36</v>
      </c>
      <c r="AJ834">
        <v>0</v>
      </c>
      <c r="AK834">
        <v>13</v>
      </c>
      <c r="AL834" t="s">
        <v>6640</v>
      </c>
      <c r="AM834" t="s">
        <v>522</v>
      </c>
      <c r="AN834" t="s">
        <v>6641</v>
      </c>
      <c r="AO834" t="s">
        <v>4821</v>
      </c>
      <c r="AP834" t="s">
        <v>74</v>
      </c>
      <c r="AQ834" t="s">
        <v>74</v>
      </c>
      <c r="AR834" t="s">
        <v>4812</v>
      </c>
      <c r="AS834" t="s">
        <v>4823</v>
      </c>
      <c r="AT834" t="s">
        <v>13402</v>
      </c>
      <c r="AU834">
        <v>2007</v>
      </c>
      <c r="AV834">
        <v>149</v>
      </c>
      <c r="AW834">
        <v>4</v>
      </c>
      <c r="AX834" t="s">
        <v>74</v>
      </c>
      <c r="AY834" t="s">
        <v>74</v>
      </c>
      <c r="AZ834" t="s">
        <v>74</v>
      </c>
      <c r="BA834" t="s">
        <v>74</v>
      </c>
      <c r="BB834">
        <v>826</v>
      </c>
      <c r="BC834">
        <v>835</v>
      </c>
      <c r="BD834" t="s">
        <v>74</v>
      </c>
      <c r="BE834" t="s">
        <v>74</v>
      </c>
      <c r="BF834" t="s">
        <v>74</v>
      </c>
      <c r="BG834" t="s">
        <v>74</v>
      </c>
      <c r="BH834" t="s">
        <v>74</v>
      </c>
      <c r="BI834">
        <v>10</v>
      </c>
      <c r="BJ834" t="s">
        <v>4824</v>
      </c>
      <c r="BK834" t="s">
        <v>97</v>
      </c>
      <c r="BL834" t="s">
        <v>4825</v>
      </c>
      <c r="BM834" t="s">
        <v>13734</v>
      </c>
      <c r="BN834" t="s">
        <v>74</v>
      </c>
      <c r="BO834" t="s">
        <v>74</v>
      </c>
      <c r="BP834" t="s">
        <v>74</v>
      </c>
      <c r="BQ834" t="s">
        <v>74</v>
      </c>
      <c r="BR834" t="s">
        <v>100</v>
      </c>
      <c r="BS834" t="s">
        <v>13735</v>
      </c>
      <c r="BT834" t="str">
        <f>HYPERLINK("https%3A%2F%2Fwww.webofscience.com%2Fwos%2Fwoscc%2Ffull-record%2FWOS:000250011800016","View Full Record in Web of Science")</f>
        <v>View Full Record in Web of Science</v>
      </c>
    </row>
    <row r="835" spans="1:72" x14ac:dyDescent="0.15">
      <c r="A835" t="s">
        <v>72</v>
      </c>
      <c r="B835" t="s">
        <v>13736</v>
      </c>
      <c r="C835" t="s">
        <v>74</v>
      </c>
      <c r="D835" t="s">
        <v>74</v>
      </c>
      <c r="E835" t="s">
        <v>74</v>
      </c>
      <c r="F835" t="s">
        <v>13737</v>
      </c>
      <c r="G835" t="s">
        <v>74</v>
      </c>
      <c r="H835" t="s">
        <v>74</v>
      </c>
      <c r="I835" t="s">
        <v>13738</v>
      </c>
      <c r="J835" t="s">
        <v>13739</v>
      </c>
      <c r="K835" t="s">
        <v>74</v>
      </c>
      <c r="L835" t="s">
        <v>74</v>
      </c>
      <c r="M835" t="s">
        <v>78</v>
      </c>
      <c r="N835" t="s">
        <v>1602</v>
      </c>
      <c r="O835" t="s">
        <v>13740</v>
      </c>
      <c r="P835" t="s">
        <v>13741</v>
      </c>
      <c r="Q835" t="s">
        <v>1015</v>
      </c>
      <c r="R835" t="s">
        <v>74</v>
      </c>
      <c r="S835" t="s">
        <v>74</v>
      </c>
      <c r="T835" t="s">
        <v>13742</v>
      </c>
      <c r="U835" t="s">
        <v>13743</v>
      </c>
      <c r="V835" t="s">
        <v>13744</v>
      </c>
      <c r="W835" t="s">
        <v>13745</v>
      </c>
      <c r="X835" t="s">
        <v>13746</v>
      </c>
      <c r="Y835" t="s">
        <v>13747</v>
      </c>
      <c r="Z835" t="s">
        <v>13748</v>
      </c>
      <c r="AA835" t="s">
        <v>13749</v>
      </c>
      <c r="AB835" t="s">
        <v>13750</v>
      </c>
      <c r="AC835" t="s">
        <v>74</v>
      </c>
      <c r="AD835" t="s">
        <v>74</v>
      </c>
      <c r="AE835" t="s">
        <v>74</v>
      </c>
      <c r="AF835" t="s">
        <v>74</v>
      </c>
      <c r="AG835">
        <v>7</v>
      </c>
      <c r="AH835">
        <v>3</v>
      </c>
      <c r="AI835">
        <v>3</v>
      </c>
      <c r="AJ835">
        <v>0</v>
      </c>
      <c r="AK835">
        <v>3</v>
      </c>
      <c r="AL835" t="s">
        <v>5069</v>
      </c>
      <c r="AM835" t="s">
        <v>5070</v>
      </c>
      <c r="AN835" t="s">
        <v>13751</v>
      </c>
      <c r="AO835" t="s">
        <v>13752</v>
      </c>
      <c r="AP835" t="s">
        <v>13753</v>
      </c>
      <c r="AQ835" t="s">
        <v>74</v>
      </c>
      <c r="AR835" t="s">
        <v>13754</v>
      </c>
      <c r="AS835" t="s">
        <v>13755</v>
      </c>
      <c r="AT835" t="s">
        <v>13402</v>
      </c>
      <c r="AU835">
        <v>2007</v>
      </c>
      <c r="AV835">
        <v>17</v>
      </c>
      <c r="AW835">
        <v>10</v>
      </c>
      <c r="AX835" t="s">
        <v>74</v>
      </c>
      <c r="AY835" t="s">
        <v>74</v>
      </c>
      <c r="AZ835" t="s">
        <v>74</v>
      </c>
      <c r="BA835" t="s">
        <v>74</v>
      </c>
      <c r="BB835">
        <v>3685</v>
      </c>
      <c r="BC835">
        <v>3689</v>
      </c>
      <c r="BD835" t="s">
        <v>74</v>
      </c>
      <c r="BE835" t="s">
        <v>13756</v>
      </c>
      <c r="BF835" t="str">
        <f>HYPERLINK("http://dx.doi.org/10.1142/S0218127407019573","http://dx.doi.org/10.1142/S0218127407019573")</f>
        <v>http://dx.doi.org/10.1142/S0218127407019573</v>
      </c>
      <c r="BG835" t="s">
        <v>74</v>
      </c>
      <c r="BH835" t="s">
        <v>74</v>
      </c>
      <c r="BI835">
        <v>5</v>
      </c>
      <c r="BJ835" t="s">
        <v>13757</v>
      </c>
      <c r="BK835" t="s">
        <v>1616</v>
      </c>
      <c r="BL835" t="s">
        <v>13758</v>
      </c>
      <c r="BM835" t="s">
        <v>13759</v>
      </c>
      <c r="BN835" t="s">
        <v>74</v>
      </c>
      <c r="BO835" t="s">
        <v>74</v>
      </c>
      <c r="BP835" t="s">
        <v>74</v>
      </c>
      <c r="BQ835" t="s">
        <v>74</v>
      </c>
      <c r="BR835" t="s">
        <v>100</v>
      </c>
      <c r="BS835" t="s">
        <v>13760</v>
      </c>
      <c r="BT835" t="str">
        <f>HYPERLINK("https%3A%2F%2Fwww.webofscience.com%2Fwos%2Fwoscc%2Ffull-record%2FWOS:000253285500051","View Full Record in Web of Science")</f>
        <v>View Full Record in Web of Science</v>
      </c>
    </row>
    <row r="836" spans="1:72" x14ac:dyDescent="0.15">
      <c r="A836" t="s">
        <v>72</v>
      </c>
      <c r="B836" t="s">
        <v>13761</v>
      </c>
      <c r="C836" t="s">
        <v>74</v>
      </c>
      <c r="D836" t="s">
        <v>74</v>
      </c>
      <c r="E836" t="s">
        <v>74</v>
      </c>
      <c r="F836" t="s">
        <v>13762</v>
      </c>
      <c r="G836" t="s">
        <v>74</v>
      </c>
      <c r="H836" t="s">
        <v>74</v>
      </c>
      <c r="I836" t="s">
        <v>13763</v>
      </c>
      <c r="J836" t="s">
        <v>10183</v>
      </c>
      <c r="K836" t="s">
        <v>74</v>
      </c>
      <c r="L836" t="s">
        <v>74</v>
      </c>
      <c r="M836" t="s">
        <v>78</v>
      </c>
      <c r="N836" t="s">
        <v>79</v>
      </c>
      <c r="O836" t="s">
        <v>74</v>
      </c>
      <c r="P836" t="s">
        <v>74</v>
      </c>
      <c r="Q836" t="s">
        <v>74</v>
      </c>
      <c r="R836" t="s">
        <v>74</v>
      </c>
      <c r="S836" t="s">
        <v>74</v>
      </c>
      <c r="T836" t="s">
        <v>74</v>
      </c>
      <c r="U836" t="s">
        <v>13764</v>
      </c>
      <c r="V836" t="s">
        <v>13765</v>
      </c>
      <c r="W836" t="s">
        <v>13766</v>
      </c>
      <c r="X836" t="s">
        <v>13767</v>
      </c>
      <c r="Y836" t="s">
        <v>13768</v>
      </c>
      <c r="Z836" t="s">
        <v>13769</v>
      </c>
      <c r="AA836" t="s">
        <v>13770</v>
      </c>
      <c r="AB836" t="s">
        <v>74</v>
      </c>
      <c r="AC836" t="s">
        <v>74</v>
      </c>
      <c r="AD836" t="s">
        <v>74</v>
      </c>
      <c r="AE836" t="s">
        <v>74</v>
      </c>
      <c r="AF836" t="s">
        <v>74</v>
      </c>
      <c r="AG836">
        <v>34</v>
      </c>
      <c r="AH836">
        <v>90</v>
      </c>
      <c r="AI836">
        <v>96</v>
      </c>
      <c r="AJ836">
        <v>0</v>
      </c>
      <c r="AK836">
        <v>22</v>
      </c>
      <c r="AL836" t="s">
        <v>583</v>
      </c>
      <c r="AM836" t="s">
        <v>584</v>
      </c>
      <c r="AN836" t="s">
        <v>585</v>
      </c>
      <c r="AO836" t="s">
        <v>10191</v>
      </c>
      <c r="AP836" t="s">
        <v>10192</v>
      </c>
      <c r="AQ836" t="s">
        <v>74</v>
      </c>
      <c r="AR836" t="s">
        <v>10193</v>
      </c>
      <c r="AS836" t="s">
        <v>10194</v>
      </c>
      <c r="AT836" t="s">
        <v>13402</v>
      </c>
      <c r="AU836">
        <v>2007</v>
      </c>
      <c r="AV836">
        <v>24</v>
      </c>
      <c r="AW836">
        <v>10</v>
      </c>
      <c r="AX836" t="s">
        <v>74</v>
      </c>
      <c r="AY836" t="s">
        <v>74</v>
      </c>
      <c r="AZ836" t="s">
        <v>74</v>
      </c>
      <c r="BA836" t="s">
        <v>74</v>
      </c>
      <c r="BB836">
        <v>1757</v>
      </c>
      <c r="BC836">
        <v>1772</v>
      </c>
      <c r="BD836" t="s">
        <v>74</v>
      </c>
      <c r="BE836" t="s">
        <v>13771</v>
      </c>
      <c r="BF836" t="str">
        <f>HYPERLINK("http://dx.doi.org/10.1175/JTECH2113.1","http://dx.doi.org/10.1175/JTECH2113.1")</f>
        <v>http://dx.doi.org/10.1175/JTECH2113.1</v>
      </c>
      <c r="BG836" t="s">
        <v>74</v>
      </c>
      <c r="BH836" t="s">
        <v>74</v>
      </c>
      <c r="BI836">
        <v>16</v>
      </c>
      <c r="BJ836" t="s">
        <v>10196</v>
      </c>
      <c r="BK836" t="s">
        <v>97</v>
      </c>
      <c r="BL836" t="s">
        <v>10197</v>
      </c>
      <c r="BM836" t="s">
        <v>13772</v>
      </c>
      <c r="BN836" t="s">
        <v>74</v>
      </c>
      <c r="BO836" t="s">
        <v>649</v>
      </c>
      <c r="BP836" t="s">
        <v>74</v>
      </c>
      <c r="BQ836" t="s">
        <v>74</v>
      </c>
      <c r="BR836" t="s">
        <v>100</v>
      </c>
      <c r="BS836" t="s">
        <v>13773</v>
      </c>
      <c r="BT836" t="str">
        <f>HYPERLINK("https%3A%2F%2Fwww.webofscience.com%2Fwos%2Fwoscc%2Ffull-record%2FWOS:000250006000006","View Full Record in Web of Science")</f>
        <v>View Full Record in Web of Science</v>
      </c>
    </row>
    <row r="837" spans="1:72" x14ac:dyDescent="0.15">
      <c r="A837" t="s">
        <v>72</v>
      </c>
      <c r="B837" t="s">
        <v>13774</v>
      </c>
      <c r="C837" t="s">
        <v>74</v>
      </c>
      <c r="D837" t="s">
        <v>74</v>
      </c>
      <c r="E837" t="s">
        <v>74</v>
      </c>
      <c r="F837" t="s">
        <v>13775</v>
      </c>
      <c r="G837" t="s">
        <v>74</v>
      </c>
      <c r="H837" t="s">
        <v>74</v>
      </c>
      <c r="I837" t="s">
        <v>13776</v>
      </c>
      <c r="J837" t="s">
        <v>10203</v>
      </c>
      <c r="K837" t="s">
        <v>74</v>
      </c>
      <c r="L837" t="s">
        <v>74</v>
      </c>
      <c r="M837" t="s">
        <v>78</v>
      </c>
      <c r="N837" t="s">
        <v>1602</v>
      </c>
      <c r="O837" t="s">
        <v>13777</v>
      </c>
      <c r="P837" t="s">
        <v>13778</v>
      </c>
      <c r="Q837" t="s">
        <v>13779</v>
      </c>
      <c r="R837" t="s">
        <v>74</v>
      </c>
      <c r="S837" t="s">
        <v>74</v>
      </c>
      <c r="T837" t="s">
        <v>13780</v>
      </c>
      <c r="U837" t="s">
        <v>13781</v>
      </c>
      <c r="V837" t="s">
        <v>13782</v>
      </c>
      <c r="W837" t="s">
        <v>13783</v>
      </c>
      <c r="X837" t="s">
        <v>13784</v>
      </c>
      <c r="Y837" t="s">
        <v>13785</v>
      </c>
      <c r="Z837" t="s">
        <v>13786</v>
      </c>
      <c r="AA837" t="s">
        <v>74</v>
      </c>
      <c r="AB837" t="s">
        <v>13787</v>
      </c>
      <c r="AC837" t="s">
        <v>394</v>
      </c>
      <c r="AD837" t="s">
        <v>242</v>
      </c>
      <c r="AE837" t="s">
        <v>74</v>
      </c>
      <c r="AF837" t="s">
        <v>74</v>
      </c>
      <c r="AG837">
        <v>33</v>
      </c>
      <c r="AH837">
        <v>9</v>
      </c>
      <c r="AI837">
        <v>11</v>
      </c>
      <c r="AJ837">
        <v>0</v>
      </c>
      <c r="AK837">
        <v>0</v>
      </c>
      <c r="AL837" t="s">
        <v>521</v>
      </c>
      <c r="AM837" t="s">
        <v>522</v>
      </c>
      <c r="AN837" t="s">
        <v>523</v>
      </c>
      <c r="AO837" t="s">
        <v>10216</v>
      </c>
      <c r="AP837" t="s">
        <v>10217</v>
      </c>
      <c r="AQ837" t="s">
        <v>74</v>
      </c>
      <c r="AR837" t="s">
        <v>10218</v>
      </c>
      <c r="AS837" t="s">
        <v>10219</v>
      </c>
      <c r="AT837" t="s">
        <v>13402</v>
      </c>
      <c r="AU837">
        <v>2007</v>
      </c>
      <c r="AV837">
        <v>69</v>
      </c>
      <c r="AW837">
        <v>14</v>
      </c>
      <c r="AX837" t="s">
        <v>74</v>
      </c>
      <c r="AY837" t="s">
        <v>74</v>
      </c>
      <c r="AZ837" t="s">
        <v>74</v>
      </c>
      <c r="BA837" t="s">
        <v>74</v>
      </c>
      <c r="BB837">
        <v>1707</v>
      </c>
      <c r="BC837">
        <v>1722</v>
      </c>
      <c r="BD837" t="s">
        <v>74</v>
      </c>
      <c r="BE837" t="s">
        <v>13788</v>
      </c>
      <c r="BF837" t="str">
        <f>HYPERLINK("http://dx.doi.org/10.1016/j.jastp.2007.02.011","http://dx.doi.org/10.1016/j.jastp.2007.02.011")</f>
        <v>http://dx.doi.org/10.1016/j.jastp.2007.02.011</v>
      </c>
      <c r="BG837" t="s">
        <v>74</v>
      </c>
      <c r="BH837" t="s">
        <v>74</v>
      </c>
      <c r="BI837">
        <v>16</v>
      </c>
      <c r="BJ837" t="s">
        <v>10222</v>
      </c>
      <c r="BK837" t="s">
        <v>1616</v>
      </c>
      <c r="BL837" t="s">
        <v>10222</v>
      </c>
      <c r="BM837" t="s">
        <v>13789</v>
      </c>
      <c r="BN837" t="s">
        <v>74</v>
      </c>
      <c r="BO837" t="s">
        <v>74</v>
      </c>
      <c r="BP837" t="s">
        <v>74</v>
      </c>
      <c r="BQ837" t="s">
        <v>74</v>
      </c>
      <c r="BR837" t="s">
        <v>100</v>
      </c>
      <c r="BS837" t="s">
        <v>13790</v>
      </c>
      <c r="BT837" t="str">
        <f>HYPERLINK("https%3A%2F%2Fwww.webofscience.com%2Fwos%2Fwoscc%2Ffull-record%2FWOS:000250638100013","View Full Record in Web of Science")</f>
        <v>View Full Record in Web of Science</v>
      </c>
    </row>
    <row r="838" spans="1:72" x14ac:dyDescent="0.15">
      <c r="A838" t="s">
        <v>72</v>
      </c>
      <c r="B838" t="s">
        <v>13791</v>
      </c>
      <c r="C838" t="s">
        <v>74</v>
      </c>
      <c r="D838" t="s">
        <v>74</v>
      </c>
      <c r="E838" t="s">
        <v>74</v>
      </c>
      <c r="F838" t="s">
        <v>13792</v>
      </c>
      <c r="G838" t="s">
        <v>74</v>
      </c>
      <c r="H838" t="s">
        <v>74</v>
      </c>
      <c r="I838" t="s">
        <v>13793</v>
      </c>
      <c r="J838" t="s">
        <v>10260</v>
      </c>
      <c r="K838" t="s">
        <v>74</v>
      </c>
      <c r="L838" t="s">
        <v>74</v>
      </c>
      <c r="M838" t="s">
        <v>78</v>
      </c>
      <c r="N838" t="s">
        <v>438</v>
      </c>
      <c r="O838" t="s">
        <v>74</v>
      </c>
      <c r="P838" t="s">
        <v>74</v>
      </c>
      <c r="Q838" t="s">
        <v>74</v>
      </c>
      <c r="R838" t="s">
        <v>74</v>
      </c>
      <c r="S838" t="s">
        <v>74</v>
      </c>
      <c r="T838" t="s">
        <v>13794</v>
      </c>
      <c r="U838" t="s">
        <v>13795</v>
      </c>
      <c r="V838" t="s">
        <v>13796</v>
      </c>
      <c r="W838" t="s">
        <v>13797</v>
      </c>
      <c r="X838" t="s">
        <v>13798</v>
      </c>
      <c r="Y838" t="s">
        <v>13799</v>
      </c>
      <c r="Z838" t="s">
        <v>13800</v>
      </c>
      <c r="AA838" t="s">
        <v>74</v>
      </c>
      <c r="AB838" t="s">
        <v>13801</v>
      </c>
      <c r="AC838" t="s">
        <v>74</v>
      </c>
      <c r="AD838" t="s">
        <v>74</v>
      </c>
      <c r="AE838" t="s">
        <v>74</v>
      </c>
      <c r="AF838" t="s">
        <v>74</v>
      </c>
      <c r="AG838">
        <v>94</v>
      </c>
      <c r="AH838">
        <v>30</v>
      </c>
      <c r="AI838">
        <v>31</v>
      </c>
      <c r="AJ838">
        <v>0</v>
      </c>
      <c r="AK838">
        <v>23</v>
      </c>
      <c r="AL838" t="s">
        <v>1219</v>
      </c>
      <c r="AM838" t="s">
        <v>89</v>
      </c>
      <c r="AN838" t="s">
        <v>90</v>
      </c>
      <c r="AO838" t="s">
        <v>10270</v>
      </c>
      <c r="AP838" t="s">
        <v>10271</v>
      </c>
      <c r="AQ838" t="s">
        <v>74</v>
      </c>
      <c r="AR838" t="s">
        <v>10272</v>
      </c>
      <c r="AS838" t="s">
        <v>10273</v>
      </c>
      <c r="AT838" t="s">
        <v>13402</v>
      </c>
      <c r="AU838">
        <v>2007</v>
      </c>
      <c r="AV838">
        <v>34</v>
      </c>
      <c r="AW838">
        <v>10</v>
      </c>
      <c r="AX838" t="s">
        <v>74</v>
      </c>
      <c r="AY838" t="s">
        <v>74</v>
      </c>
      <c r="AZ838" t="s">
        <v>74</v>
      </c>
      <c r="BA838" t="s">
        <v>74</v>
      </c>
      <c r="BB838">
        <v>1649</v>
      </c>
      <c r="BC838">
        <v>1660</v>
      </c>
      <c r="BD838" t="s">
        <v>74</v>
      </c>
      <c r="BE838" t="s">
        <v>13802</v>
      </c>
      <c r="BF838" t="str">
        <f>HYPERLINK("http://dx.doi.org/10.1111/j.1365-2699.2007.01757.x","http://dx.doi.org/10.1111/j.1365-2699.2007.01757.x")</f>
        <v>http://dx.doi.org/10.1111/j.1365-2699.2007.01757.x</v>
      </c>
      <c r="BG838" t="s">
        <v>74</v>
      </c>
      <c r="BH838" t="s">
        <v>74</v>
      </c>
      <c r="BI838">
        <v>12</v>
      </c>
      <c r="BJ838" t="s">
        <v>4448</v>
      </c>
      <c r="BK838" t="s">
        <v>97</v>
      </c>
      <c r="BL838" t="s">
        <v>4449</v>
      </c>
      <c r="BM838" t="s">
        <v>13803</v>
      </c>
      <c r="BN838" t="s">
        <v>74</v>
      </c>
      <c r="BO838" t="s">
        <v>179</v>
      </c>
      <c r="BP838" t="s">
        <v>74</v>
      </c>
      <c r="BQ838" t="s">
        <v>74</v>
      </c>
      <c r="BR838" t="s">
        <v>100</v>
      </c>
      <c r="BS838" t="s">
        <v>13804</v>
      </c>
      <c r="BT838" t="str">
        <f>HYPERLINK("https%3A%2F%2Fwww.webofscience.com%2Fwos%2Fwoscc%2Ffull-record%2FWOS:000249663300001","View Full Record in Web of Science")</f>
        <v>View Full Record in Web of Science</v>
      </c>
    </row>
    <row r="839" spans="1:72" x14ac:dyDescent="0.15">
      <c r="A839" t="s">
        <v>72</v>
      </c>
      <c r="B839" t="s">
        <v>13805</v>
      </c>
      <c r="C839" t="s">
        <v>74</v>
      </c>
      <c r="D839" t="s">
        <v>74</v>
      </c>
      <c r="E839" t="s">
        <v>74</v>
      </c>
      <c r="F839" t="s">
        <v>13806</v>
      </c>
      <c r="G839" t="s">
        <v>74</v>
      </c>
      <c r="H839" t="s">
        <v>74</v>
      </c>
      <c r="I839" t="s">
        <v>13807</v>
      </c>
      <c r="J839" t="s">
        <v>10260</v>
      </c>
      <c r="K839" t="s">
        <v>74</v>
      </c>
      <c r="L839" t="s">
        <v>74</v>
      </c>
      <c r="M839" t="s">
        <v>78</v>
      </c>
      <c r="N839" t="s">
        <v>79</v>
      </c>
      <c r="O839" t="s">
        <v>74</v>
      </c>
      <c r="P839" t="s">
        <v>74</v>
      </c>
      <c r="Q839" t="s">
        <v>74</v>
      </c>
      <c r="R839" t="s">
        <v>74</v>
      </c>
      <c r="S839" t="s">
        <v>74</v>
      </c>
      <c r="T839" t="s">
        <v>13808</v>
      </c>
      <c r="U839" t="s">
        <v>13809</v>
      </c>
      <c r="V839" t="s">
        <v>13810</v>
      </c>
      <c r="W839" t="s">
        <v>13811</v>
      </c>
      <c r="X839" t="s">
        <v>13812</v>
      </c>
      <c r="Y839" t="s">
        <v>13813</v>
      </c>
      <c r="Z839" t="s">
        <v>13814</v>
      </c>
      <c r="AA839" t="s">
        <v>74</v>
      </c>
      <c r="AB839" t="s">
        <v>74</v>
      </c>
      <c r="AC839" t="s">
        <v>74</v>
      </c>
      <c r="AD839" t="s">
        <v>74</v>
      </c>
      <c r="AE839" t="s">
        <v>74</v>
      </c>
      <c r="AF839" t="s">
        <v>74</v>
      </c>
      <c r="AG839">
        <v>98</v>
      </c>
      <c r="AH839">
        <v>65</v>
      </c>
      <c r="AI839">
        <v>77</v>
      </c>
      <c r="AJ839">
        <v>0</v>
      </c>
      <c r="AK839">
        <v>21</v>
      </c>
      <c r="AL839" t="s">
        <v>1219</v>
      </c>
      <c r="AM839" t="s">
        <v>89</v>
      </c>
      <c r="AN839" t="s">
        <v>90</v>
      </c>
      <c r="AO839" t="s">
        <v>10270</v>
      </c>
      <c r="AP839" t="s">
        <v>10271</v>
      </c>
      <c r="AQ839" t="s">
        <v>74</v>
      </c>
      <c r="AR839" t="s">
        <v>10272</v>
      </c>
      <c r="AS839" t="s">
        <v>10273</v>
      </c>
      <c r="AT839" t="s">
        <v>13402</v>
      </c>
      <c r="AU839">
        <v>2007</v>
      </c>
      <c r="AV839">
        <v>34</v>
      </c>
      <c r="AW839">
        <v>10</v>
      </c>
      <c r="AX839" t="s">
        <v>74</v>
      </c>
      <c r="AY839" t="s">
        <v>74</v>
      </c>
      <c r="AZ839" t="s">
        <v>74</v>
      </c>
      <c r="BA839" t="s">
        <v>74</v>
      </c>
      <c r="BB839">
        <v>1822</v>
      </c>
      <c r="BC839">
        <v>1831</v>
      </c>
      <c r="BD839" t="s">
        <v>74</v>
      </c>
      <c r="BE839" t="s">
        <v>13815</v>
      </c>
      <c r="BF839" t="str">
        <f>HYPERLINK("http://dx.doi.org/10.1111/j.1365-2699.2007.01733.x","http://dx.doi.org/10.1111/j.1365-2699.2007.01733.x")</f>
        <v>http://dx.doi.org/10.1111/j.1365-2699.2007.01733.x</v>
      </c>
      <c r="BG839" t="s">
        <v>74</v>
      </c>
      <c r="BH839" t="s">
        <v>74</v>
      </c>
      <c r="BI839">
        <v>10</v>
      </c>
      <c r="BJ839" t="s">
        <v>4448</v>
      </c>
      <c r="BK839" t="s">
        <v>97</v>
      </c>
      <c r="BL839" t="s">
        <v>4449</v>
      </c>
      <c r="BM839" t="s">
        <v>13803</v>
      </c>
      <c r="BN839" t="s">
        <v>74</v>
      </c>
      <c r="BO839" t="s">
        <v>74</v>
      </c>
      <c r="BP839" t="s">
        <v>74</v>
      </c>
      <c r="BQ839" t="s">
        <v>74</v>
      </c>
      <c r="BR839" t="s">
        <v>100</v>
      </c>
      <c r="BS839" t="s">
        <v>13816</v>
      </c>
      <c r="BT839" t="str">
        <f>HYPERLINK("https%3A%2F%2Fwww.webofscience.com%2Fwos%2Fwoscc%2Ffull-record%2FWOS:000249663300014","View Full Record in Web of Science")</f>
        <v>View Full Record in Web of Science</v>
      </c>
    </row>
    <row r="840" spans="1:72" x14ac:dyDescent="0.15">
      <c r="A840" t="s">
        <v>72</v>
      </c>
      <c r="B840" t="s">
        <v>13817</v>
      </c>
      <c r="C840" t="s">
        <v>74</v>
      </c>
      <c r="D840" t="s">
        <v>74</v>
      </c>
      <c r="E840" t="s">
        <v>74</v>
      </c>
      <c r="F840" t="s">
        <v>13818</v>
      </c>
      <c r="G840" t="s">
        <v>74</v>
      </c>
      <c r="H840" t="s">
        <v>74</v>
      </c>
      <c r="I840" t="s">
        <v>13819</v>
      </c>
      <c r="J840" t="s">
        <v>574</v>
      </c>
      <c r="K840" t="s">
        <v>74</v>
      </c>
      <c r="L840" t="s">
        <v>74</v>
      </c>
      <c r="M840" t="s">
        <v>78</v>
      </c>
      <c r="N840" t="s">
        <v>79</v>
      </c>
      <c r="O840" t="s">
        <v>74</v>
      </c>
      <c r="P840" t="s">
        <v>74</v>
      </c>
      <c r="Q840" t="s">
        <v>74</v>
      </c>
      <c r="R840" t="s">
        <v>74</v>
      </c>
      <c r="S840" t="s">
        <v>74</v>
      </c>
      <c r="T840" t="s">
        <v>74</v>
      </c>
      <c r="U840" t="s">
        <v>13820</v>
      </c>
      <c r="V840" t="s">
        <v>13821</v>
      </c>
      <c r="W840" t="s">
        <v>13822</v>
      </c>
      <c r="X840" t="s">
        <v>13823</v>
      </c>
      <c r="Y840" t="s">
        <v>13824</v>
      </c>
      <c r="Z840" t="s">
        <v>13825</v>
      </c>
      <c r="AA840" t="s">
        <v>13826</v>
      </c>
      <c r="AB840" t="s">
        <v>74</v>
      </c>
      <c r="AC840" t="s">
        <v>74</v>
      </c>
      <c r="AD840" t="s">
        <v>74</v>
      </c>
      <c r="AE840" t="s">
        <v>74</v>
      </c>
      <c r="AF840" t="s">
        <v>74</v>
      </c>
      <c r="AG840">
        <v>26</v>
      </c>
      <c r="AH840">
        <v>27</v>
      </c>
      <c r="AI840">
        <v>28</v>
      </c>
      <c r="AJ840">
        <v>0</v>
      </c>
      <c r="AK840">
        <v>10</v>
      </c>
      <c r="AL840" t="s">
        <v>583</v>
      </c>
      <c r="AM840" t="s">
        <v>584</v>
      </c>
      <c r="AN840" t="s">
        <v>13192</v>
      </c>
      <c r="AO840" t="s">
        <v>586</v>
      </c>
      <c r="AP840" t="s">
        <v>587</v>
      </c>
      <c r="AQ840" t="s">
        <v>74</v>
      </c>
      <c r="AR840" t="s">
        <v>588</v>
      </c>
      <c r="AS840" t="s">
        <v>589</v>
      </c>
      <c r="AT840" t="s">
        <v>13402</v>
      </c>
      <c r="AU840">
        <v>2007</v>
      </c>
      <c r="AV840">
        <v>20</v>
      </c>
      <c r="AW840">
        <v>19</v>
      </c>
      <c r="AX840" t="s">
        <v>74</v>
      </c>
      <c r="AY840" t="s">
        <v>74</v>
      </c>
      <c r="AZ840" t="s">
        <v>74</v>
      </c>
      <c r="BA840" t="s">
        <v>74</v>
      </c>
      <c r="BB840">
        <v>4968</v>
      </c>
      <c r="BC840">
        <v>4981</v>
      </c>
      <c r="BD840" t="s">
        <v>74</v>
      </c>
      <c r="BE840" t="s">
        <v>13827</v>
      </c>
      <c r="BF840" t="str">
        <f>HYPERLINK("http://dx.doi.org/10.1175/JCLI4269.1","http://dx.doi.org/10.1175/JCLI4269.1")</f>
        <v>http://dx.doi.org/10.1175/JCLI4269.1</v>
      </c>
      <c r="BG840" t="s">
        <v>74</v>
      </c>
      <c r="BH840" t="s">
        <v>74</v>
      </c>
      <c r="BI840">
        <v>14</v>
      </c>
      <c r="BJ840" t="s">
        <v>204</v>
      </c>
      <c r="BK840" t="s">
        <v>97</v>
      </c>
      <c r="BL840" t="s">
        <v>204</v>
      </c>
      <c r="BM840" t="s">
        <v>13828</v>
      </c>
      <c r="BN840" t="s">
        <v>74</v>
      </c>
      <c r="BO840" t="s">
        <v>649</v>
      </c>
      <c r="BP840" t="s">
        <v>74</v>
      </c>
      <c r="BQ840" t="s">
        <v>74</v>
      </c>
      <c r="BR840" t="s">
        <v>100</v>
      </c>
      <c r="BS840" t="s">
        <v>13829</v>
      </c>
      <c r="BT840" t="str">
        <f>HYPERLINK("https%3A%2F%2Fwww.webofscience.com%2Fwos%2Fwoscc%2Ffull-record%2FWOS:000250105800011","View Full Record in Web of Science")</f>
        <v>View Full Record in Web of Science</v>
      </c>
    </row>
    <row r="841" spans="1:72" x14ac:dyDescent="0.15">
      <c r="A841" t="s">
        <v>72</v>
      </c>
      <c r="B841" t="s">
        <v>13830</v>
      </c>
      <c r="C841" t="s">
        <v>74</v>
      </c>
      <c r="D841" t="s">
        <v>74</v>
      </c>
      <c r="E841" t="s">
        <v>74</v>
      </c>
      <c r="F841" t="s">
        <v>13831</v>
      </c>
      <c r="G841" t="s">
        <v>74</v>
      </c>
      <c r="H841" t="s">
        <v>74</v>
      </c>
      <c r="I841" t="s">
        <v>13832</v>
      </c>
      <c r="J841" t="s">
        <v>5252</v>
      </c>
      <c r="K841" t="s">
        <v>74</v>
      </c>
      <c r="L841" t="s">
        <v>74</v>
      </c>
      <c r="M841" t="s">
        <v>78</v>
      </c>
      <c r="N841" t="s">
        <v>79</v>
      </c>
      <c r="O841" t="s">
        <v>74</v>
      </c>
      <c r="P841" t="s">
        <v>74</v>
      </c>
      <c r="Q841" t="s">
        <v>74</v>
      </c>
      <c r="R841" t="s">
        <v>74</v>
      </c>
      <c r="S841" t="s">
        <v>74</v>
      </c>
      <c r="T841" t="s">
        <v>13833</v>
      </c>
      <c r="U841" t="s">
        <v>13834</v>
      </c>
      <c r="V841" t="s">
        <v>13835</v>
      </c>
      <c r="W841" t="s">
        <v>13836</v>
      </c>
      <c r="X841" t="s">
        <v>13837</v>
      </c>
      <c r="Y841" t="s">
        <v>13838</v>
      </c>
      <c r="Z841" t="s">
        <v>12809</v>
      </c>
      <c r="AA841" t="s">
        <v>13839</v>
      </c>
      <c r="AB841" t="s">
        <v>13840</v>
      </c>
      <c r="AC841" t="s">
        <v>74</v>
      </c>
      <c r="AD841" t="s">
        <v>74</v>
      </c>
      <c r="AE841" t="s">
        <v>74</v>
      </c>
      <c r="AF841" t="s">
        <v>74</v>
      </c>
      <c r="AG841">
        <v>68</v>
      </c>
      <c r="AH841">
        <v>70</v>
      </c>
      <c r="AI841">
        <v>82</v>
      </c>
      <c r="AJ841">
        <v>2</v>
      </c>
      <c r="AK841">
        <v>29</v>
      </c>
      <c r="AL841" t="s">
        <v>1240</v>
      </c>
      <c r="AM841" t="s">
        <v>1241</v>
      </c>
      <c r="AN841" t="s">
        <v>1242</v>
      </c>
      <c r="AO841" t="s">
        <v>5262</v>
      </c>
      <c r="AP841" t="s">
        <v>5263</v>
      </c>
      <c r="AQ841" t="s">
        <v>74</v>
      </c>
      <c r="AR841" t="s">
        <v>5264</v>
      </c>
      <c r="AS841" t="s">
        <v>5265</v>
      </c>
      <c r="AT841" t="s">
        <v>13402</v>
      </c>
      <c r="AU841">
        <v>2007</v>
      </c>
      <c r="AV841">
        <v>177</v>
      </c>
      <c r="AW841">
        <v>7</v>
      </c>
      <c r="AX841" t="s">
        <v>74</v>
      </c>
      <c r="AY841" t="s">
        <v>74</v>
      </c>
      <c r="AZ841" t="s">
        <v>74</v>
      </c>
      <c r="BA841" t="s">
        <v>74</v>
      </c>
      <c r="BB841">
        <v>765</v>
      </c>
      <c r="BC841">
        <v>777</v>
      </c>
      <c r="BD841" t="s">
        <v>74</v>
      </c>
      <c r="BE841" t="s">
        <v>13841</v>
      </c>
      <c r="BF841" t="str">
        <f>HYPERLINK("http://dx.doi.org/10.1007/s00360-007-0173-4","http://dx.doi.org/10.1007/s00360-007-0173-4")</f>
        <v>http://dx.doi.org/10.1007/s00360-007-0173-4</v>
      </c>
      <c r="BG841" t="s">
        <v>74</v>
      </c>
      <c r="BH841" t="s">
        <v>74</v>
      </c>
      <c r="BI841">
        <v>13</v>
      </c>
      <c r="BJ841" t="s">
        <v>5267</v>
      </c>
      <c r="BK841" t="s">
        <v>97</v>
      </c>
      <c r="BL841" t="s">
        <v>5267</v>
      </c>
      <c r="BM841" t="s">
        <v>13842</v>
      </c>
      <c r="BN841">
        <v>17579869</v>
      </c>
      <c r="BO841" t="s">
        <v>1050</v>
      </c>
      <c r="BP841" t="s">
        <v>74</v>
      </c>
      <c r="BQ841" t="s">
        <v>74</v>
      </c>
      <c r="BR841" t="s">
        <v>100</v>
      </c>
      <c r="BS841" t="s">
        <v>13843</v>
      </c>
      <c r="BT841" t="str">
        <f>HYPERLINK("https%3A%2F%2Fwww.webofscience.com%2Fwos%2Fwoscc%2Ffull-record%2FWOS:000249577100007","View Full Record in Web of Science")</f>
        <v>View Full Record in Web of Science</v>
      </c>
    </row>
    <row r="842" spans="1:72" x14ac:dyDescent="0.15">
      <c r="A842" t="s">
        <v>72</v>
      </c>
      <c r="B842" t="s">
        <v>13844</v>
      </c>
      <c r="C842" t="s">
        <v>74</v>
      </c>
      <c r="D842" t="s">
        <v>74</v>
      </c>
      <c r="E842" t="s">
        <v>74</v>
      </c>
      <c r="F842" t="s">
        <v>13845</v>
      </c>
      <c r="G842" t="s">
        <v>74</v>
      </c>
      <c r="H842" t="s">
        <v>74</v>
      </c>
      <c r="I842" t="s">
        <v>13846</v>
      </c>
      <c r="J842" t="s">
        <v>13847</v>
      </c>
      <c r="K842" t="s">
        <v>74</v>
      </c>
      <c r="L842" t="s">
        <v>74</v>
      </c>
      <c r="M842" t="s">
        <v>78</v>
      </c>
      <c r="N842" t="s">
        <v>79</v>
      </c>
      <c r="O842" t="s">
        <v>74</v>
      </c>
      <c r="P842" t="s">
        <v>74</v>
      </c>
      <c r="Q842" t="s">
        <v>74</v>
      </c>
      <c r="R842" t="s">
        <v>74</v>
      </c>
      <c r="S842" t="s">
        <v>74</v>
      </c>
      <c r="T842" t="s">
        <v>13848</v>
      </c>
      <c r="U842" t="s">
        <v>13849</v>
      </c>
      <c r="V842" t="s">
        <v>13850</v>
      </c>
      <c r="W842" t="s">
        <v>13851</v>
      </c>
      <c r="X842" t="s">
        <v>13852</v>
      </c>
      <c r="Y842" t="s">
        <v>13853</v>
      </c>
      <c r="Z842" t="s">
        <v>13854</v>
      </c>
      <c r="AA842" t="s">
        <v>13855</v>
      </c>
      <c r="AB842" t="s">
        <v>13856</v>
      </c>
      <c r="AC842" t="s">
        <v>74</v>
      </c>
      <c r="AD842" t="s">
        <v>74</v>
      </c>
      <c r="AE842" t="s">
        <v>74</v>
      </c>
      <c r="AF842" t="s">
        <v>74</v>
      </c>
      <c r="AG842">
        <v>60</v>
      </c>
      <c r="AH842">
        <v>25</v>
      </c>
      <c r="AI842">
        <v>26</v>
      </c>
      <c r="AJ842">
        <v>0</v>
      </c>
      <c r="AK842">
        <v>20</v>
      </c>
      <c r="AL842" t="s">
        <v>13857</v>
      </c>
      <c r="AM842" t="s">
        <v>1467</v>
      </c>
      <c r="AN842" t="s">
        <v>13858</v>
      </c>
      <c r="AO842" t="s">
        <v>13859</v>
      </c>
      <c r="AP842" t="s">
        <v>13860</v>
      </c>
      <c r="AQ842" t="s">
        <v>74</v>
      </c>
      <c r="AR842" t="s">
        <v>13861</v>
      </c>
      <c r="AS842" t="s">
        <v>13862</v>
      </c>
      <c r="AT842" t="s">
        <v>13863</v>
      </c>
      <c r="AU842">
        <v>2007</v>
      </c>
      <c r="AV842">
        <v>210</v>
      </c>
      <c r="AW842">
        <v>19</v>
      </c>
      <c r="AX842" t="s">
        <v>74</v>
      </c>
      <c r="AY842" t="s">
        <v>74</v>
      </c>
      <c r="AZ842" t="s">
        <v>74</v>
      </c>
      <c r="BA842" t="s">
        <v>74</v>
      </c>
      <c r="BB842">
        <v>3407</v>
      </c>
      <c r="BC842">
        <v>3414</v>
      </c>
      <c r="BD842" t="s">
        <v>74</v>
      </c>
      <c r="BE842" t="s">
        <v>13864</v>
      </c>
      <c r="BF842" t="str">
        <f>HYPERLINK("http://dx.doi.org/10.1242/jeb.005090","http://dx.doi.org/10.1242/jeb.005090")</f>
        <v>http://dx.doi.org/10.1242/jeb.005090</v>
      </c>
      <c r="BG842" t="s">
        <v>74</v>
      </c>
      <c r="BH842" t="s">
        <v>74</v>
      </c>
      <c r="BI842">
        <v>8</v>
      </c>
      <c r="BJ842" t="s">
        <v>4848</v>
      </c>
      <c r="BK842" t="s">
        <v>97</v>
      </c>
      <c r="BL842" t="s">
        <v>4849</v>
      </c>
      <c r="BM842" t="s">
        <v>13865</v>
      </c>
      <c r="BN842">
        <v>17872994</v>
      </c>
      <c r="BO842" t="s">
        <v>1050</v>
      </c>
      <c r="BP842" t="s">
        <v>74</v>
      </c>
      <c r="BQ842" t="s">
        <v>74</v>
      </c>
      <c r="BR842" t="s">
        <v>100</v>
      </c>
      <c r="BS842" t="s">
        <v>13866</v>
      </c>
      <c r="BT842" t="str">
        <f>HYPERLINK("https%3A%2F%2Fwww.webofscience.com%2Fwos%2Fwoscc%2Ffull-record%2FWOS:000249517500018","View Full Record in Web of Science")</f>
        <v>View Full Record in Web of Science</v>
      </c>
    </row>
    <row r="843" spans="1:72" x14ac:dyDescent="0.15">
      <c r="A843" t="s">
        <v>72</v>
      </c>
      <c r="B843" t="s">
        <v>13867</v>
      </c>
      <c r="C843" t="s">
        <v>74</v>
      </c>
      <c r="D843" t="s">
        <v>74</v>
      </c>
      <c r="E843" t="s">
        <v>74</v>
      </c>
      <c r="F843" t="s">
        <v>13868</v>
      </c>
      <c r="G843" t="s">
        <v>74</v>
      </c>
      <c r="H843" t="s">
        <v>74</v>
      </c>
      <c r="I843" t="s">
        <v>13869</v>
      </c>
      <c r="J843" t="s">
        <v>13870</v>
      </c>
      <c r="K843" t="s">
        <v>74</v>
      </c>
      <c r="L843" t="s">
        <v>74</v>
      </c>
      <c r="M843" t="s">
        <v>78</v>
      </c>
      <c r="N843" t="s">
        <v>79</v>
      </c>
      <c r="O843" t="s">
        <v>74</v>
      </c>
      <c r="P843" t="s">
        <v>74</v>
      </c>
      <c r="Q843" t="s">
        <v>74</v>
      </c>
      <c r="R843" t="s">
        <v>74</v>
      </c>
      <c r="S843" t="s">
        <v>74</v>
      </c>
      <c r="T843" t="s">
        <v>13871</v>
      </c>
      <c r="U843" t="s">
        <v>13872</v>
      </c>
      <c r="V843" t="s">
        <v>13873</v>
      </c>
      <c r="W843" t="s">
        <v>13874</v>
      </c>
      <c r="X843" t="s">
        <v>13875</v>
      </c>
      <c r="Y843" t="s">
        <v>13876</v>
      </c>
      <c r="Z843" t="s">
        <v>13877</v>
      </c>
      <c r="AA843" t="s">
        <v>13878</v>
      </c>
      <c r="AB843" t="s">
        <v>13879</v>
      </c>
      <c r="AC843" t="s">
        <v>74</v>
      </c>
      <c r="AD843" t="s">
        <v>74</v>
      </c>
      <c r="AE843" t="s">
        <v>74</v>
      </c>
      <c r="AF843" t="s">
        <v>74</v>
      </c>
      <c r="AG843">
        <v>44</v>
      </c>
      <c r="AH843">
        <v>55</v>
      </c>
      <c r="AI843">
        <v>61</v>
      </c>
      <c r="AJ843">
        <v>0</v>
      </c>
      <c r="AK843">
        <v>18</v>
      </c>
      <c r="AL843" t="s">
        <v>2678</v>
      </c>
      <c r="AM843" t="s">
        <v>522</v>
      </c>
      <c r="AN843" t="s">
        <v>4192</v>
      </c>
      <c r="AO843" t="s">
        <v>13880</v>
      </c>
      <c r="AP843" t="s">
        <v>13881</v>
      </c>
      <c r="AQ843" t="s">
        <v>74</v>
      </c>
      <c r="AR843" t="s">
        <v>13882</v>
      </c>
      <c r="AS843" t="s">
        <v>13883</v>
      </c>
      <c r="AT843" t="s">
        <v>13402</v>
      </c>
      <c r="AU843">
        <v>2007</v>
      </c>
      <c r="AV843">
        <v>58</v>
      </c>
      <c r="AW843">
        <v>13</v>
      </c>
      <c r="AX843" t="s">
        <v>74</v>
      </c>
      <c r="AY843" t="s">
        <v>74</v>
      </c>
      <c r="AZ843" t="s">
        <v>74</v>
      </c>
      <c r="BA843" t="s">
        <v>74</v>
      </c>
      <c r="BB843">
        <v>3581</v>
      </c>
      <c r="BC843">
        <v>3590</v>
      </c>
      <c r="BD843" t="s">
        <v>74</v>
      </c>
      <c r="BE843" t="s">
        <v>13884</v>
      </c>
      <c r="BF843" t="str">
        <f>HYPERLINK("http://dx.doi.org/10.1093/jxb/erm206","http://dx.doi.org/10.1093/jxb/erm206")</f>
        <v>http://dx.doi.org/10.1093/jxb/erm206</v>
      </c>
      <c r="BG843" t="s">
        <v>74</v>
      </c>
      <c r="BH843" t="s">
        <v>74</v>
      </c>
      <c r="BI843">
        <v>10</v>
      </c>
      <c r="BJ843" t="s">
        <v>6860</v>
      </c>
      <c r="BK843" t="s">
        <v>97</v>
      </c>
      <c r="BL843" t="s">
        <v>6860</v>
      </c>
      <c r="BM843" t="s">
        <v>13885</v>
      </c>
      <c r="BN843">
        <v>18057038</v>
      </c>
      <c r="BO843" t="s">
        <v>74</v>
      </c>
      <c r="BP843" t="s">
        <v>74</v>
      </c>
      <c r="BQ843" t="s">
        <v>74</v>
      </c>
      <c r="BR843" t="s">
        <v>100</v>
      </c>
      <c r="BS843" t="s">
        <v>13886</v>
      </c>
      <c r="BT843" t="str">
        <f>HYPERLINK("https%3A%2F%2Fwww.webofscience.com%2Fwos%2Fwoscc%2Ffull-record%2FWOS:000251506300008","View Full Record in Web of Science")</f>
        <v>View Full Record in Web of Science</v>
      </c>
    </row>
    <row r="844" spans="1:72" x14ac:dyDescent="0.15">
      <c r="A844" t="s">
        <v>72</v>
      </c>
      <c r="B844" t="s">
        <v>13887</v>
      </c>
      <c r="C844" t="s">
        <v>74</v>
      </c>
      <c r="D844" t="s">
        <v>74</v>
      </c>
      <c r="E844" t="s">
        <v>74</v>
      </c>
      <c r="F844" t="s">
        <v>13888</v>
      </c>
      <c r="G844" t="s">
        <v>74</v>
      </c>
      <c r="H844" t="s">
        <v>74</v>
      </c>
      <c r="I844" t="s">
        <v>13889</v>
      </c>
      <c r="J844" t="s">
        <v>5330</v>
      </c>
      <c r="K844" t="s">
        <v>74</v>
      </c>
      <c r="L844" t="s">
        <v>74</v>
      </c>
      <c r="M844" t="s">
        <v>78</v>
      </c>
      <c r="N844" t="s">
        <v>79</v>
      </c>
      <c r="O844" t="s">
        <v>74</v>
      </c>
      <c r="P844" t="s">
        <v>74</v>
      </c>
      <c r="Q844" t="s">
        <v>74</v>
      </c>
      <c r="R844" t="s">
        <v>74</v>
      </c>
      <c r="S844" t="s">
        <v>74</v>
      </c>
      <c r="T844" t="s">
        <v>13890</v>
      </c>
      <c r="U844" t="s">
        <v>13891</v>
      </c>
      <c r="V844" t="s">
        <v>13892</v>
      </c>
      <c r="W844" t="s">
        <v>13893</v>
      </c>
      <c r="X844" t="s">
        <v>13894</v>
      </c>
      <c r="Y844" t="s">
        <v>13895</v>
      </c>
      <c r="Z844" t="s">
        <v>13896</v>
      </c>
      <c r="AA844" t="s">
        <v>13897</v>
      </c>
      <c r="AB844" t="s">
        <v>13898</v>
      </c>
      <c r="AC844" t="s">
        <v>74</v>
      </c>
      <c r="AD844" t="s">
        <v>74</v>
      </c>
      <c r="AE844" t="s">
        <v>74</v>
      </c>
      <c r="AF844" t="s">
        <v>74</v>
      </c>
      <c r="AG844">
        <v>81</v>
      </c>
      <c r="AH844">
        <v>19</v>
      </c>
      <c r="AI844">
        <v>21</v>
      </c>
      <c r="AJ844">
        <v>0</v>
      </c>
      <c r="AK844">
        <v>10</v>
      </c>
      <c r="AL844" t="s">
        <v>1219</v>
      </c>
      <c r="AM844" t="s">
        <v>89</v>
      </c>
      <c r="AN844" t="s">
        <v>90</v>
      </c>
      <c r="AO844" t="s">
        <v>5341</v>
      </c>
      <c r="AP844" t="s">
        <v>5342</v>
      </c>
      <c r="AQ844" t="s">
        <v>74</v>
      </c>
      <c r="AR844" t="s">
        <v>5343</v>
      </c>
      <c r="AS844" t="s">
        <v>5344</v>
      </c>
      <c r="AT844" t="s">
        <v>13402</v>
      </c>
      <c r="AU844">
        <v>2007</v>
      </c>
      <c r="AV844">
        <v>71</v>
      </c>
      <c r="AW844">
        <v>4</v>
      </c>
      <c r="AX844" t="s">
        <v>74</v>
      </c>
      <c r="AY844" t="s">
        <v>74</v>
      </c>
      <c r="AZ844" t="s">
        <v>74</v>
      </c>
      <c r="BA844" t="s">
        <v>74</v>
      </c>
      <c r="BB844">
        <v>970</v>
      </c>
      <c r="BC844">
        <v>992</v>
      </c>
      <c r="BD844" t="s">
        <v>74</v>
      </c>
      <c r="BE844" t="s">
        <v>13899</v>
      </c>
      <c r="BF844" t="str">
        <f>HYPERLINK("http://dx.doi.org/10.1111/j.1095-8649.2007.01560.x","http://dx.doi.org/10.1111/j.1095-8649.2007.01560.x")</f>
        <v>http://dx.doi.org/10.1111/j.1095-8649.2007.01560.x</v>
      </c>
      <c r="BG844" t="s">
        <v>74</v>
      </c>
      <c r="BH844" t="s">
        <v>74</v>
      </c>
      <c r="BI844">
        <v>23</v>
      </c>
      <c r="BJ844" t="s">
        <v>5346</v>
      </c>
      <c r="BK844" t="s">
        <v>97</v>
      </c>
      <c r="BL844" t="s">
        <v>5346</v>
      </c>
      <c r="BM844" t="s">
        <v>13900</v>
      </c>
      <c r="BN844" t="s">
        <v>74</v>
      </c>
      <c r="BO844" t="s">
        <v>179</v>
      </c>
      <c r="BP844" t="s">
        <v>74</v>
      </c>
      <c r="BQ844" t="s">
        <v>74</v>
      </c>
      <c r="BR844" t="s">
        <v>100</v>
      </c>
      <c r="BS844" t="s">
        <v>13901</v>
      </c>
      <c r="BT844" t="str">
        <f>HYPERLINK("https%3A%2F%2Fwww.webofscience.com%2Fwos%2Fwoscc%2Ffull-record%2FWOS:000250265800003","View Full Record in Web of Science")</f>
        <v>View Full Record in Web of Science</v>
      </c>
    </row>
    <row r="845" spans="1:72" x14ac:dyDescent="0.15">
      <c r="A845" t="s">
        <v>72</v>
      </c>
      <c r="B845" t="s">
        <v>13902</v>
      </c>
      <c r="C845" t="s">
        <v>74</v>
      </c>
      <c r="D845" t="s">
        <v>74</v>
      </c>
      <c r="E845" t="s">
        <v>74</v>
      </c>
      <c r="F845" t="s">
        <v>13903</v>
      </c>
      <c r="G845" t="s">
        <v>74</v>
      </c>
      <c r="H845" t="s">
        <v>74</v>
      </c>
      <c r="I845" t="s">
        <v>13904</v>
      </c>
      <c r="J845" t="s">
        <v>13905</v>
      </c>
      <c r="K845" t="s">
        <v>74</v>
      </c>
      <c r="L845" t="s">
        <v>74</v>
      </c>
      <c r="M845" t="s">
        <v>78</v>
      </c>
      <c r="N845" t="s">
        <v>79</v>
      </c>
      <c r="O845" t="s">
        <v>74</v>
      </c>
      <c r="P845" t="s">
        <v>74</v>
      </c>
      <c r="Q845" t="s">
        <v>74</v>
      </c>
      <c r="R845" t="s">
        <v>74</v>
      </c>
      <c r="S845" t="s">
        <v>74</v>
      </c>
      <c r="T845" t="s">
        <v>74</v>
      </c>
      <c r="U845" t="s">
        <v>74</v>
      </c>
      <c r="V845" t="s">
        <v>13906</v>
      </c>
      <c r="W845" t="s">
        <v>13907</v>
      </c>
      <c r="X845" t="s">
        <v>13908</v>
      </c>
      <c r="Y845" t="s">
        <v>13909</v>
      </c>
      <c r="Z845" t="s">
        <v>13910</v>
      </c>
      <c r="AA845" t="s">
        <v>13911</v>
      </c>
      <c r="AB845" t="s">
        <v>13912</v>
      </c>
      <c r="AC845" t="s">
        <v>13913</v>
      </c>
      <c r="AD845" t="s">
        <v>13914</v>
      </c>
      <c r="AE845" t="s">
        <v>13915</v>
      </c>
      <c r="AF845" t="s">
        <v>74</v>
      </c>
      <c r="AG845">
        <v>21</v>
      </c>
      <c r="AH845">
        <v>1</v>
      </c>
      <c r="AI845">
        <v>1</v>
      </c>
      <c r="AJ845">
        <v>0</v>
      </c>
      <c r="AK845">
        <v>0</v>
      </c>
      <c r="AL845" t="s">
        <v>13916</v>
      </c>
      <c r="AM845" t="s">
        <v>13917</v>
      </c>
      <c r="AN845" t="s">
        <v>13918</v>
      </c>
      <c r="AO845" t="s">
        <v>13919</v>
      </c>
      <c r="AP845" t="s">
        <v>74</v>
      </c>
      <c r="AQ845" t="s">
        <v>74</v>
      </c>
      <c r="AR845" t="s">
        <v>13920</v>
      </c>
      <c r="AS845" t="s">
        <v>13921</v>
      </c>
      <c r="AT845" t="s">
        <v>13402</v>
      </c>
      <c r="AU845">
        <v>2007</v>
      </c>
      <c r="AV845">
        <v>11</v>
      </c>
      <c r="AW845">
        <v>4</v>
      </c>
      <c r="AX845" t="s">
        <v>74</v>
      </c>
      <c r="AY845" t="s">
        <v>74</v>
      </c>
      <c r="AZ845" t="s">
        <v>74</v>
      </c>
      <c r="BA845" t="s">
        <v>74</v>
      </c>
      <c r="BB845">
        <v>217</v>
      </c>
      <c r="BC845">
        <v>228</v>
      </c>
      <c r="BD845" t="s">
        <v>74</v>
      </c>
      <c r="BE845" t="s">
        <v>74</v>
      </c>
      <c r="BF845" t="s">
        <v>74</v>
      </c>
      <c r="BG845" t="s">
        <v>74</v>
      </c>
      <c r="BH845" t="s">
        <v>74</v>
      </c>
      <c r="BI845">
        <v>12</v>
      </c>
      <c r="BJ845" t="s">
        <v>553</v>
      </c>
      <c r="BK845" t="s">
        <v>2166</v>
      </c>
      <c r="BL845" t="s">
        <v>553</v>
      </c>
      <c r="BM845" t="s">
        <v>13922</v>
      </c>
      <c r="BN845" t="s">
        <v>74</v>
      </c>
      <c r="BO845" t="s">
        <v>74</v>
      </c>
      <c r="BP845" t="s">
        <v>74</v>
      </c>
      <c r="BQ845" t="s">
        <v>74</v>
      </c>
      <c r="BR845" t="s">
        <v>100</v>
      </c>
      <c r="BS845" t="s">
        <v>13923</v>
      </c>
      <c r="BT845" t="str">
        <f>HYPERLINK("https%3A%2F%2Fwww.webofscience.com%2Fwos%2Fwoscc%2Ffull-record%2FWOS:000421681300005","View Full Record in Web of Science")</f>
        <v>View Full Record in Web of Science</v>
      </c>
    </row>
    <row r="846" spans="1:72" x14ac:dyDescent="0.15">
      <c r="A846" t="s">
        <v>72</v>
      </c>
      <c r="B846" t="s">
        <v>13924</v>
      </c>
      <c r="C846" t="s">
        <v>74</v>
      </c>
      <c r="D846" t="s">
        <v>74</v>
      </c>
      <c r="E846" t="s">
        <v>74</v>
      </c>
      <c r="F846" t="s">
        <v>13925</v>
      </c>
      <c r="G846" t="s">
        <v>74</v>
      </c>
      <c r="H846" t="s">
        <v>74</v>
      </c>
      <c r="I846" t="s">
        <v>13926</v>
      </c>
      <c r="J846" t="s">
        <v>10446</v>
      </c>
      <c r="K846" t="s">
        <v>74</v>
      </c>
      <c r="L846" t="s">
        <v>74</v>
      </c>
      <c r="M846" t="s">
        <v>78</v>
      </c>
      <c r="N846" t="s">
        <v>79</v>
      </c>
      <c r="O846" t="s">
        <v>74</v>
      </c>
      <c r="P846" t="s">
        <v>74</v>
      </c>
      <c r="Q846" t="s">
        <v>74</v>
      </c>
      <c r="R846" t="s">
        <v>74</v>
      </c>
      <c r="S846" t="s">
        <v>74</v>
      </c>
      <c r="T846" t="s">
        <v>13927</v>
      </c>
      <c r="U846" t="s">
        <v>13928</v>
      </c>
      <c r="V846" t="s">
        <v>13929</v>
      </c>
      <c r="W846" t="s">
        <v>13930</v>
      </c>
      <c r="X846" t="s">
        <v>13931</v>
      </c>
      <c r="Y846" t="s">
        <v>13932</v>
      </c>
      <c r="Z846" t="s">
        <v>13416</v>
      </c>
      <c r="AA846" t="s">
        <v>74</v>
      </c>
      <c r="AB846" t="s">
        <v>74</v>
      </c>
      <c r="AC846" t="s">
        <v>74</v>
      </c>
      <c r="AD846" t="s">
        <v>74</v>
      </c>
      <c r="AE846" t="s">
        <v>74</v>
      </c>
      <c r="AF846" t="s">
        <v>74</v>
      </c>
      <c r="AG846">
        <v>52</v>
      </c>
      <c r="AH846">
        <v>18</v>
      </c>
      <c r="AI846">
        <v>20</v>
      </c>
      <c r="AJ846">
        <v>0</v>
      </c>
      <c r="AK846">
        <v>23</v>
      </c>
      <c r="AL846" t="s">
        <v>1219</v>
      </c>
      <c r="AM846" t="s">
        <v>89</v>
      </c>
      <c r="AN846" t="s">
        <v>90</v>
      </c>
      <c r="AO846" t="s">
        <v>10449</v>
      </c>
      <c r="AP846" t="s">
        <v>13933</v>
      </c>
      <c r="AQ846" t="s">
        <v>74</v>
      </c>
      <c r="AR846" t="s">
        <v>10450</v>
      </c>
      <c r="AS846" t="s">
        <v>10451</v>
      </c>
      <c r="AT846" t="s">
        <v>13402</v>
      </c>
      <c r="AU846">
        <v>2007</v>
      </c>
      <c r="AV846">
        <v>43</v>
      </c>
      <c r="AW846">
        <v>5</v>
      </c>
      <c r="AX846" t="s">
        <v>74</v>
      </c>
      <c r="AY846" t="s">
        <v>74</v>
      </c>
      <c r="AZ846" t="s">
        <v>74</v>
      </c>
      <c r="BA846" t="s">
        <v>74</v>
      </c>
      <c r="BB846">
        <v>924</v>
      </c>
      <c r="BC846">
        <v>936</v>
      </c>
      <c r="BD846" t="s">
        <v>74</v>
      </c>
      <c r="BE846" t="s">
        <v>13934</v>
      </c>
      <c r="BF846" t="str">
        <f>HYPERLINK("http://dx.doi.org/10.1111/j.1529-8817.2007.00380.x","http://dx.doi.org/10.1111/j.1529-8817.2007.00380.x")</f>
        <v>http://dx.doi.org/10.1111/j.1529-8817.2007.00380.x</v>
      </c>
      <c r="BG846" t="s">
        <v>74</v>
      </c>
      <c r="BH846" t="s">
        <v>74</v>
      </c>
      <c r="BI846">
        <v>13</v>
      </c>
      <c r="BJ846" t="s">
        <v>4090</v>
      </c>
      <c r="BK846" t="s">
        <v>97</v>
      </c>
      <c r="BL846" t="s">
        <v>4090</v>
      </c>
      <c r="BM846" t="s">
        <v>13935</v>
      </c>
      <c r="BN846" t="s">
        <v>74</v>
      </c>
      <c r="BO846" t="s">
        <v>74</v>
      </c>
      <c r="BP846" t="s">
        <v>74</v>
      </c>
      <c r="BQ846" t="s">
        <v>74</v>
      </c>
      <c r="BR846" t="s">
        <v>100</v>
      </c>
      <c r="BS846" t="s">
        <v>13936</v>
      </c>
      <c r="BT846" t="str">
        <f>HYPERLINK("https%3A%2F%2Fwww.webofscience.com%2Fwos%2Fwoscc%2Ffull-record%2FWOS:000249827400008","View Full Record in Web of Science")</f>
        <v>View Full Record in Web of Science</v>
      </c>
    </row>
    <row r="847" spans="1:72" x14ac:dyDescent="0.15">
      <c r="A847" t="s">
        <v>72</v>
      </c>
      <c r="B847" t="s">
        <v>13937</v>
      </c>
      <c r="C847" t="s">
        <v>74</v>
      </c>
      <c r="D847" t="s">
        <v>74</v>
      </c>
      <c r="E847" t="s">
        <v>74</v>
      </c>
      <c r="F847" t="s">
        <v>13938</v>
      </c>
      <c r="G847" t="s">
        <v>74</v>
      </c>
      <c r="H847" t="s">
        <v>74</v>
      </c>
      <c r="I847" t="s">
        <v>13939</v>
      </c>
      <c r="J847" t="s">
        <v>12371</v>
      </c>
      <c r="K847" t="s">
        <v>74</v>
      </c>
      <c r="L847" t="s">
        <v>74</v>
      </c>
      <c r="M847" t="s">
        <v>78</v>
      </c>
      <c r="N847" t="s">
        <v>79</v>
      </c>
      <c r="O847" t="s">
        <v>74</v>
      </c>
      <c r="P847" t="s">
        <v>74</v>
      </c>
      <c r="Q847" t="s">
        <v>74</v>
      </c>
      <c r="R847" t="s">
        <v>74</v>
      </c>
      <c r="S847" t="s">
        <v>74</v>
      </c>
      <c r="T847" t="s">
        <v>74</v>
      </c>
      <c r="U847" t="s">
        <v>13940</v>
      </c>
      <c r="V847" t="s">
        <v>13941</v>
      </c>
      <c r="W847" t="s">
        <v>13942</v>
      </c>
      <c r="X847" t="s">
        <v>13943</v>
      </c>
      <c r="Y847" t="s">
        <v>13944</v>
      </c>
      <c r="Z847" t="s">
        <v>13945</v>
      </c>
      <c r="AA847" t="s">
        <v>13946</v>
      </c>
      <c r="AB847" t="s">
        <v>13947</v>
      </c>
      <c r="AC847" t="s">
        <v>74</v>
      </c>
      <c r="AD847" t="s">
        <v>74</v>
      </c>
      <c r="AE847" t="s">
        <v>74</v>
      </c>
      <c r="AF847" t="s">
        <v>74</v>
      </c>
      <c r="AG847">
        <v>72</v>
      </c>
      <c r="AH847">
        <v>551</v>
      </c>
      <c r="AI847">
        <v>601</v>
      </c>
      <c r="AJ847">
        <v>2</v>
      </c>
      <c r="AK847">
        <v>116</v>
      </c>
      <c r="AL847" t="s">
        <v>583</v>
      </c>
      <c r="AM847" t="s">
        <v>584</v>
      </c>
      <c r="AN847" t="s">
        <v>585</v>
      </c>
      <c r="AO847" t="s">
        <v>12379</v>
      </c>
      <c r="AP847" t="s">
        <v>13948</v>
      </c>
      <c r="AQ847" t="s">
        <v>74</v>
      </c>
      <c r="AR847" t="s">
        <v>12380</v>
      </c>
      <c r="AS847" t="s">
        <v>12381</v>
      </c>
      <c r="AT847" t="s">
        <v>13402</v>
      </c>
      <c r="AU847">
        <v>2007</v>
      </c>
      <c r="AV847">
        <v>37</v>
      </c>
      <c r="AW847">
        <v>10</v>
      </c>
      <c r="AX847" t="s">
        <v>74</v>
      </c>
      <c r="AY847" t="s">
        <v>74</v>
      </c>
      <c r="AZ847" t="s">
        <v>74</v>
      </c>
      <c r="BA847" t="s">
        <v>74</v>
      </c>
      <c r="BB847">
        <v>2550</v>
      </c>
      <c r="BC847">
        <v>2562</v>
      </c>
      <c r="BD847" t="s">
        <v>74</v>
      </c>
      <c r="BE847" t="s">
        <v>13949</v>
      </c>
      <c r="BF847" t="str">
        <f>HYPERLINK("http://dx.doi.org/10.1175/JPO3130.1","http://dx.doi.org/10.1175/JPO3130.1")</f>
        <v>http://dx.doi.org/10.1175/JPO3130.1</v>
      </c>
      <c r="BG847" t="s">
        <v>74</v>
      </c>
      <c r="BH847" t="s">
        <v>74</v>
      </c>
      <c r="BI847">
        <v>13</v>
      </c>
      <c r="BJ847" t="s">
        <v>630</v>
      </c>
      <c r="BK847" t="s">
        <v>97</v>
      </c>
      <c r="BL847" t="s">
        <v>630</v>
      </c>
      <c r="BM847" t="s">
        <v>13950</v>
      </c>
      <c r="BN847" t="s">
        <v>74</v>
      </c>
      <c r="BO847" t="s">
        <v>179</v>
      </c>
      <c r="BP847" t="s">
        <v>74</v>
      </c>
      <c r="BQ847" t="s">
        <v>74</v>
      </c>
      <c r="BR847" t="s">
        <v>100</v>
      </c>
      <c r="BS847" t="s">
        <v>13951</v>
      </c>
      <c r="BT847" t="str">
        <f>HYPERLINK("https%3A%2F%2Fwww.webofscience.com%2Fwos%2Fwoscc%2Ffull-record%2FWOS:000250737200011","View Full Record in Web of Science")</f>
        <v>View Full Record in Web of Science</v>
      </c>
    </row>
    <row r="848" spans="1:72" x14ac:dyDescent="0.15">
      <c r="A848" t="s">
        <v>72</v>
      </c>
      <c r="B848" t="s">
        <v>13952</v>
      </c>
      <c r="C848" t="s">
        <v>74</v>
      </c>
      <c r="D848" t="s">
        <v>74</v>
      </c>
      <c r="E848" t="s">
        <v>74</v>
      </c>
      <c r="F848" t="s">
        <v>13953</v>
      </c>
      <c r="G848" t="s">
        <v>74</v>
      </c>
      <c r="H848" t="s">
        <v>74</v>
      </c>
      <c r="I848" t="s">
        <v>13954</v>
      </c>
      <c r="J848" t="s">
        <v>13955</v>
      </c>
      <c r="K848" t="s">
        <v>74</v>
      </c>
      <c r="L848" t="s">
        <v>74</v>
      </c>
      <c r="M848" t="s">
        <v>78</v>
      </c>
      <c r="N848" t="s">
        <v>79</v>
      </c>
      <c r="O848" t="s">
        <v>74</v>
      </c>
      <c r="P848" t="s">
        <v>74</v>
      </c>
      <c r="Q848" t="s">
        <v>74</v>
      </c>
      <c r="R848" t="s">
        <v>74</v>
      </c>
      <c r="S848" t="s">
        <v>74</v>
      </c>
      <c r="T848" t="s">
        <v>13956</v>
      </c>
      <c r="U848" t="s">
        <v>13957</v>
      </c>
      <c r="V848" t="s">
        <v>13958</v>
      </c>
      <c r="W848" t="s">
        <v>13959</v>
      </c>
      <c r="X848" t="s">
        <v>13960</v>
      </c>
      <c r="Y848" t="s">
        <v>13961</v>
      </c>
      <c r="Z848" t="s">
        <v>6760</v>
      </c>
      <c r="AA848" t="s">
        <v>13962</v>
      </c>
      <c r="AB848" t="s">
        <v>13963</v>
      </c>
      <c r="AC848" t="s">
        <v>74</v>
      </c>
      <c r="AD848" t="s">
        <v>74</v>
      </c>
      <c r="AE848" t="s">
        <v>74</v>
      </c>
      <c r="AF848" t="s">
        <v>74</v>
      </c>
      <c r="AG848">
        <v>41</v>
      </c>
      <c r="AH848">
        <v>39</v>
      </c>
      <c r="AI848">
        <v>44</v>
      </c>
      <c r="AJ848">
        <v>0</v>
      </c>
      <c r="AK848">
        <v>31</v>
      </c>
      <c r="AL848" t="s">
        <v>1219</v>
      </c>
      <c r="AM848" t="s">
        <v>89</v>
      </c>
      <c r="AN848" t="s">
        <v>90</v>
      </c>
      <c r="AO848" t="s">
        <v>13964</v>
      </c>
      <c r="AP848" t="s">
        <v>13965</v>
      </c>
      <c r="AQ848" t="s">
        <v>74</v>
      </c>
      <c r="AR848" t="s">
        <v>13966</v>
      </c>
      <c r="AS848" t="s">
        <v>13967</v>
      </c>
      <c r="AT848" t="s">
        <v>13402</v>
      </c>
      <c r="AU848">
        <v>2007</v>
      </c>
      <c r="AV848">
        <v>38</v>
      </c>
      <c r="AW848">
        <v>10</v>
      </c>
      <c r="AX848" t="s">
        <v>74</v>
      </c>
      <c r="AY848" t="s">
        <v>74</v>
      </c>
      <c r="AZ848" t="s">
        <v>74</v>
      </c>
      <c r="BA848" t="s">
        <v>74</v>
      </c>
      <c r="BB848">
        <v>1352</v>
      </c>
      <c r="BC848">
        <v>1361</v>
      </c>
      <c r="BD848" t="s">
        <v>74</v>
      </c>
      <c r="BE848" t="s">
        <v>13968</v>
      </c>
      <c r="BF848" t="str">
        <f>HYPERLINK("http://dx.doi.org/10.1002/jrs.1775","http://dx.doi.org/10.1002/jrs.1775")</f>
        <v>http://dx.doi.org/10.1002/jrs.1775</v>
      </c>
      <c r="BG848" t="s">
        <v>74</v>
      </c>
      <c r="BH848" t="s">
        <v>74</v>
      </c>
      <c r="BI848">
        <v>10</v>
      </c>
      <c r="BJ848" t="s">
        <v>9103</v>
      </c>
      <c r="BK848" t="s">
        <v>97</v>
      </c>
      <c r="BL848" t="s">
        <v>9103</v>
      </c>
      <c r="BM848" t="s">
        <v>13969</v>
      </c>
      <c r="BN848" t="s">
        <v>74</v>
      </c>
      <c r="BO848" t="s">
        <v>74</v>
      </c>
      <c r="BP848" t="s">
        <v>74</v>
      </c>
      <c r="BQ848" t="s">
        <v>74</v>
      </c>
      <c r="BR848" t="s">
        <v>100</v>
      </c>
      <c r="BS848" t="s">
        <v>13970</v>
      </c>
      <c r="BT848" t="str">
        <f>HYPERLINK("https%3A%2F%2Fwww.webofscience.com%2Fwos%2Fwoscc%2Ffull-record%2FWOS:000250239400017","View Full Record in Web of Science")</f>
        <v>View Full Record in Web of Science</v>
      </c>
    </row>
    <row r="849" spans="1:72" x14ac:dyDescent="0.15">
      <c r="A849" t="s">
        <v>72</v>
      </c>
      <c r="B849" t="s">
        <v>13971</v>
      </c>
      <c r="C849" t="s">
        <v>74</v>
      </c>
      <c r="D849" t="s">
        <v>74</v>
      </c>
      <c r="E849" t="s">
        <v>74</v>
      </c>
      <c r="F849" t="s">
        <v>13972</v>
      </c>
      <c r="G849" t="s">
        <v>74</v>
      </c>
      <c r="H849" t="s">
        <v>74</v>
      </c>
      <c r="I849" t="s">
        <v>13973</v>
      </c>
      <c r="J849" t="s">
        <v>13974</v>
      </c>
      <c r="K849" t="s">
        <v>74</v>
      </c>
      <c r="L849" t="s">
        <v>74</v>
      </c>
      <c r="M849" t="s">
        <v>78</v>
      </c>
      <c r="N849" t="s">
        <v>79</v>
      </c>
      <c r="O849" t="s">
        <v>74</v>
      </c>
      <c r="P849" t="s">
        <v>74</v>
      </c>
      <c r="Q849" t="s">
        <v>74</v>
      </c>
      <c r="R849" t="s">
        <v>74</v>
      </c>
      <c r="S849" t="s">
        <v>74</v>
      </c>
      <c r="T849" t="s">
        <v>74</v>
      </c>
      <c r="U849" t="s">
        <v>13975</v>
      </c>
      <c r="V849" t="s">
        <v>13976</v>
      </c>
      <c r="W849" t="s">
        <v>13977</v>
      </c>
      <c r="X849" t="s">
        <v>13978</v>
      </c>
      <c r="Y849" t="s">
        <v>13979</v>
      </c>
      <c r="Z849" t="s">
        <v>13980</v>
      </c>
      <c r="AA849" t="s">
        <v>13981</v>
      </c>
      <c r="AB849" t="s">
        <v>13982</v>
      </c>
      <c r="AC849" t="s">
        <v>74</v>
      </c>
      <c r="AD849" t="s">
        <v>74</v>
      </c>
      <c r="AE849" t="s">
        <v>74</v>
      </c>
      <c r="AF849" t="s">
        <v>74</v>
      </c>
      <c r="AG849">
        <v>70</v>
      </c>
      <c r="AH849">
        <v>84</v>
      </c>
      <c r="AI849">
        <v>90</v>
      </c>
      <c r="AJ849">
        <v>0</v>
      </c>
      <c r="AK849">
        <v>13</v>
      </c>
      <c r="AL849" t="s">
        <v>583</v>
      </c>
      <c r="AM849" t="s">
        <v>584</v>
      </c>
      <c r="AN849" t="s">
        <v>585</v>
      </c>
      <c r="AO849" t="s">
        <v>13983</v>
      </c>
      <c r="AP849" t="s">
        <v>13984</v>
      </c>
      <c r="AQ849" t="s">
        <v>74</v>
      </c>
      <c r="AR849" t="s">
        <v>13985</v>
      </c>
      <c r="AS849" t="s">
        <v>13986</v>
      </c>
      <c r="AT849" t="s">
        <v>13402</v>
      </c>
      <c r="AU849">
        <v>2007</v>
      </c>
      <c r="AV849">
        <v>64</v>
      </c>
      <c r="AW849">
        <v>10</v>
      </c>
      <c r="AX849" t="s">
        <v>74</v>
      </c>
      <c r="AY849" t="s">
        <v>74</v>
      </c>
      <c r="AZ849" t="s">
        <v>74</v>
      </c>
      <c r="BA849" t="s">
        <v>74</v>
      </c>
      <c r="BB849">
        <v>3595</v>
      </c>
      <c r="BC849">
        <v>3610</v>
      </c>
      <c r="BD849" t="s">
        <v>74</v>
      </c>
      <c r="BE849" t="s">
        <v>13987</v>
      </c>
      <c r="BF849" t="str">
        <f>HYPERLINK("http://dx.doi.org/10.1175/JAS4036.1","http://dx.doi.org/10.1175/JAS4036.1")</f>
        <v>http://dx.doi.org/10.1175/JAS4036.1</v>
      </c>
      <c r="BG849" t="s">
        <v>74</v>
      </c>
      <c r="BH849" t="s">
        <v>74</v>
      </c>
      <c r="BI849">
        <v>16</v>
      </c>
      <c r="BJ849" t="s">
        <v>204</v>
      </c>
      <c r="BK849" t="s">
        <v>97</v>
      </c>
      <c r="BL849" t="s">
        <v>204</v>
      </c>
      <c r="BM849" t="s">
        <v>13988</v>
      </c>
      <c r="BN849" t="s">
        <v>74</v>
      </c>
      <c r="BO849" t="s">
        <v>610</v>
      </c>
      <c r="BP849" t="s">
        <v>74</v>
      </c>
      <c r="BQ849" t="s">
        <v>74</v>
      </c>
      <c r="BR849" t="s">
        <v>100</v>
      </c>
      <c r="BS849" t="s">
        <v>13989</v>
      </c>
      <c r="BT849" t="str">
        <f>HYPERLINK("https%3A%2F%2Fwww.webofscience.com%2Fwos%2Fwoscc%2Ffull-record%2FWOS:000250171000012","View Full Record in Web of Science")</f>
        <v>View Full Record in Web of Science</v>
      </c>
    </row>
    <row r="850" spans="1:72" x14ac:dyDescent="0.15">
      <c r="A850" t="s">
        <v>72</v>
      </c>
      <c r="B850" t="s">
        <v>13990</v>
      </c>
      <c r="C850" t="s">
        <v>74</v>
      </c>
      <c r="D850" t="s">
        <v>74</v>
      </c>
      <c r="E850" t="s">
        <v>74</v>
      </c>
      <c r="F850" t="s">
        <v>13991</v>
      </c>
      <c r="G850" t="s">
        <v>74</v>
      </c>
      <c r="H850" t="s">
        <v>74</v>
      </c>
      <c r="I850" t="s">
        <v>13992</v>
      </c>
      <c r="J850" t="s">
        <v>13974</v>
      </c>
      <c r="K850" t="s">
        <v>74</v>
      </c>
      <c r="L850" t="s">
        <v>74</v>
      </c>
      <c r="M850" t="s">
        <v>78</v>
      </c>
      <c r="N850" t="s">
        <v>79</v>
      </c>
      <c r="O850" t="s">
        <v>74</v>
      </c>
      <c r="P850" t="s">
        <v>74</v>
      </c>
      <c r="Q850" t="s">
        <v>74</v>
      </c>
      <c r="R850" t="s">
        <v>74</v>
      </c>
      <c r="S850" t="s">
        <v>74</v>
      </c>
      <c r="T850" t="s">
        <v>74</v>
      </c>
      <c r="U850" t="s">
        <v>13993</v>
      </c>
      <c r="V850" t="s">
        <v>13994</v>
      </c>
      <c r="W850" t="s">
        <v>13995</v>
      </c>
      <c r="X850" t="s">
        <v>9276</v>
      </c>
      <c r="Y850" t="s">
        <v>13996</v>
      </c>
      <c r="Z850" t="s">
        <v>13997</v>
      </c>
      <c r="AA850" t="s">
        <v>74</v>
      </c>
      <c r="AB850" t="s">
        <v>13998</v>
      </c>
      <c r="AC850" t="s">
        <v>13999</v>
      </c>
      <c r="AD850" t="s">
        <v>444</v>
      </c>
      <c r="AE850" t="s">
        <v>74</v>
      </c>
      <c r="AF850" t="s">
        <v>74</v>
      </c>
      <c r="AG850">
        <v>39</v>
      </c>
      <c r="AH850">
        <v>31</v>
      </c>
      <c r="AI850">
        <v>33</v>
      </c>
      <c r="AJ850">
        <v>0</v>
      </c>
      <c r="AK850">
        <v>10</v>
      </c>
      <c r="AL850" t="s">
        <v>583</v>
      </c>
      <c r="AM850" t="s">
        <v>584</v>
      </c>
      <c r="AN850" t="s">
        <v>585</v>
      </c>
      <c r="AO850" t="s">
        <v>13983</v>
      </c>
      <c r="AP850" t="s">
        <v>13984</v>
      </c>
      <c r="AQ850" t="s">
        <v>74</v>
      </c>
      <c r="AR850" t="s">
        <v>13985</v>
      </c>
      <c r="AS850" t="s">
        <v>13986</v>
      </c>
      <c r="AT850" t="s">
        <v>13402</v>
      </c>
      <c r="AU850">
        <v>2007</v>
      </c>
      <c r="AV850">
        <v>64</v>
      </c>
      <c r="AW850">
        <v>10</v>
      </c>
      <c r="AX850" t="s">
        <v>74</v>
      </c>
      <c r="AY850" t="s">
        <v>74</v>
      </c>
      <c r="AZ850" t="s">
        <v>74</v>
      </c>
      <c r="BA850" t="s">
        <v>74</v>
      </c>
      <c r="BB850">
        <v>3640</v>
      </c>
      <c r="BC850">
        <v>3651</v>
      </c>
      <c r="BD850" t="s">
        <v>74</v>
      </c>
      <c r="BE850" t="s">
        <v>14000</v>
      </c>
      <c r="BF850" t="str">
        <f>HYPERLINK("http://dx.doi.org/10.1175/JAS4030.1","http://dx.doi.org/10.1175/JAS4030.1")</f>
        <v>http://dx.doi.org/10.1175/JAS4030.1</v>
      </c>
      <c r="BG850" t="s">
        <v>74</v>
      </c>
      <c r="BH850" t="s">
        <v>74</v>
      </c>
      <c r="BI850">
        <v>12</v>
      </c>
      <c r="BJ850" t="s">
        <v>204</v>
      </c>
      <c r="BK850" t="s">
        <v>97</v>
      </c>
      <c r="BL850" t="s">
        <v>204</v>
      </c>
      <c r="BM850" t="s">
        <v>13988</v>
      </c>
      <c r="BN850" t="s">
        <v>74</v>
      </c>
      <c r="BO850" t="s">
        <v>179</v>
      </c>
      <c r="BP850" t="s">
        <v>74</v>
      </c>
      <c r="BQ850" t="s">
        <v>74</v>
      </c>
      <c r="BR850" t="s">
        <v>100</v>
      </c>
      <c r="BS850" t="s">
        <v>14001</v>
      </c>
      <c r="BT850" t="str">
        <f>HYPERLINK("https%3A%2F%2Fwww.webofscience.com%2Fwos%2Fwoscc%2Ffull-record%2FWOS:000250171000015","View Full Record in Web of Science")</f>
        <v>View Full Record in Web of Science</v>
      </c>
    </row>
    <row r="851" spans="1:72" x14ac:dyDescent="0.15">
      <c r="A851" t="s">
        <v>72</v>
      </c>
      <c r="B851" t="s">
        <v>14002</v>
      </c>
      <c r="C851" t="s">
        <v>74</v>
      </c>
      <c r="D851" t="s">
        <v>74</v>
      </c>
      <c r="E851" t="s">
        <v>74</v>
      </c>
      <c r="F851" t="s">
        <v>14003</v>
      </c>
      <c r="G851" t="s">
        <v>74</v>
      </c>
      <c r="H851" t="s">
        <v>74</v>
      </c>
      <c r="I851" t="s">
        <v>14004</v>
      </c>
      <c r="J851" t="s">
        <v>14005</v>
      </c>
      <c r="K851" t="s">
        <v>74</v>
      </c>
      <c r="L851" t="s">
        <v>74</v>
      </c>
      <c r="M851" t="s">
        <v>78</v>
      </c>
      <c r="N851" t="s">
        <v>79</v>
      </c>
      <c r="O851" t="s">
        <v>74</v>
      </c>
      <c r="P851" t="s">
        <v>74</v>
      </c>
      <c r="Q851" t="s">
        <v>74</v>
      </c>
      <c r="R851" t="s">
        <v>74</v>
      </c>
      <c r="S851" t="s">
        <v>74</v>
      </c>
      <c r="T851" t="s">
        <v>74</v>
      </c>
      <c r="U851" t="s">
        <v>14006</v>
      </c>
      <c r="V851" t="s">
        <v>14007</v>
      </c>
      <c r="W851" t="s">
        <v>14008</v>
      </c>
      <c r="X851" t="s">
        <v>11620</v>
      </c>
      <c r="Y851" t="s">
        <v>14009</v>
      </c>
      <c r="Z851" t="s">
        <v>14010</v>
      </c>
      <c r="AA851" t="s">
        <v>74</v>
      </c>
      <c r="AB851" t="s">
        <v>74</v>
      </c>
      <c r="AC851" t="s">
        <v>74</v>
      </c>
      <c r="AD851" t="s">
        <v>74</v>
      </c>
      <c r="AE851" t="s">
        <v>74</v>
      </c>
      <c r="AF851" t="s">
        <v>74</v>
      </c>
      <c r="AG851">
        <v>12</v>
      </c>
      <c r="AH851">
        <v>7</v>
      </c>
      <c r="AI851">
        <v>8</v>
      </c>
      <c r="AJ851">
        <v>0</v>
      </c>
      <c r="AK851">
        <v>3</v>
      </c>
      <c r="AL851" t="s">
        <v>14011</v>
      </c>
      <c r="AM851" t="s">
        <v>194</v>
      </c>
      <c r="AN851" t="s">
        <v>14012</v>
      </c>
      <c r="AO851" t="s">
        <v>14013</v>
      </c>
      <c r="AP851" t="s">
        <v>14014</v>
      </c>
      <c r="AQ851" t="s">
        <v>74</v>
      </c>
      <c r="AR851" t="s">
        <v>14015</v>
      </c>
      <c r="AS851" t="s">
        <v>14016</v>
      </c>
      <c r="AT851" t="s">
        <v>13402</v>
      </c>
      <c r="AU851">
        <v>2007</v>
      </c>
      <c r="AV851">
        <v>24</v>
      </c>
      <c r="AW851">
        <v>10</v>
      </c>
      <c r="AX851" t="s">
        <v>74</v>
      </c>
      <c r="AY851" t="s">
        <v>74</v>
      </c>
      <c r="AZ851" t="s">
        <v>74</v>
      </c>
      <c r="BA851" t="s">
        <v>74</v>
      </c>
      <c r="BB851">
        <v>3207</v>
      </c>
      <c r="BC851">
        <v>3210</v>
      </c>
      <c r="BD851" t="s">
        <v>74</v>
      </c>
      <c r="BE851" t="s">
        <v>14017</v>
      </c>
      <c r="BF851" t="str">
        <f>HYPERLINK("http://dx.doi.org/10.1364/JOSAA.24.003207","http://dx.doi.org/10.1364/JOSAA.24.003207")</f>
        <v>http://dx.doi.org/10.1364/JOSAA.24.003207</v>
      </c>
      <c r="BG851" t="s">
        <v>74</v>
      </c>
      <c r="BH851" t="s">
        <v>74</v>
      </c>
      <c r="BI851">
        <v>4</v>
      </c>
      <c r="BJ851" t="s">
        <v>12569</v>
      </c>
      <c r="BK851" t="s">
        <v>97</v>
      </c>
      <c r="BL851" t="s">
        <v>12569</v>
      </c>
      <c r="BM851" t="s">
        <v>14018</v>
      </c>
      <c r="BN851">
        <v>17912311</v>
      </c>
      <c r="BO851" t="s">
        <v>74</v>
      </c>
      <c r="BP851" t="s">
        <v>74</v>
      </c>
      <c r="BQ851" t="s">
        <v>74</v>
      </c>
      <c r="BR851" t="s">
        <v>100</v>
      </c>
      <c r="BS851" t="s">
        <v>14019</v>
      </c>
      <c r="BT851" t="str">
        <f>HYPERLINK("https%3A%2F%2Fwww.webofscience.com%2Fwos%2Fwoscc%2Ffull-record%2FWOS:000250682300030","View Full Record in Web of Science")</f>
        <v>View Full Record in Web of Science</v>
      </c>
    </row>
    <row r="852" spans="1:72" x14ac:dyDescent="0.15">
      <c r="A852" t="s">
        <v>72</v>
      </c>
      <c r="B852" t="s">
        <v>14020</v>
      </c>
      <c r="C852" t="s">
        <v>74</v>
      </c>
      <c r="D852" t="s">
        <v>74</v>
      </c>
      <c r="E852" t="s">
        <v>74</v>
      </c>
      <c r="F852" t="s">
        <v>14021</v>
      </c>
      <c r="G852" t="s">
        <v>74</v>
      </c>
      <c r="H852" t="s">
        <v>74</v>
      </c>
      <c r="I852" t="s">
        <v>14022</v>
      </c>
      <c r="J852" t="s">
        <v>12474</v>
      </c>
      <c r="K852" t="s">
        <v>74</v>
      </c>
      <c r="L852" t="s">
        <v>74</v>
      </c>
      <c r="M852" t="s">
        <v>78</v>
      </c>
      <c r="N852" t="s">
        <v>79</v>
      </c>
      <c r="O852" t="s">
        <v>74</v>
      </c>
      <c r="P852" t="s">
        <v>74</v>
      </c>
      <c r="Q852" t="s">
        <v>74</v>
      </c>
      <c r="R852" t="s">
        <v>74</v>
      </c>
      <c r="S852" t="s">
        <v>74</v>
      </c>
      <c r="T852" t="s">
        <v>74</v>
      </c>
      <c r="U852" t="s">
        <v>14023</v>
      </c>
      <c r="V852" t="s">
        <v>14024</v>
      </c>
      <c r="W852" t="s">
        <v>14025</v>
      </c>
      <c r="X852" t="s">
        <v>14026</v>
      </c>
      <c r="Y852" t="s">
        <v>14027</v>
      </c>
      <c r="Z852" t="s">
        <v>4460</v>
      </c>
      <c r="AA852" t="s">
        <v>14028</v>
      </c>
      <c r="AB852" t="s">
        <v>7618</v>
      </c>
      <c r="AC852" t="s">
        <v>10660</v>
      </c>
      <c r="AD852" t="s">
        <v>444</v>
      </c>
      <c r="AE852" t="s">
        <v>74</v>
      </c>
      <c r="AF852" t="s">
        <v>74</v>
      </c>
      <c r="AG852">
        <v>68</v>
      </c>
      <c r="AH852">
        <v>6</v>
      </c>
      <c r="AI852">
        <v>8</v>
      </c>
      <c r="AJ852">
        <v>1</v>
      </c>
      <c r="AK852">
        <v>6</v>
      </c>
      <c r="AL852" t="s">
        <v>1240</v>
      </c>
      <c r="AM852" t="s">
        <v>1241</v>
      </c>
      <c r="AN852" t="s">
        <v>1242</v>
      </c>
      <c r="AO852" t="s">
        <v>12483</v>
      </c>
      <c r="AP852" t="s">
        <v>12499</v>
      </c>
      <c r="AQ852" t="s">
        <v>74</v>
      </c>
      <c r="AR852" t="s">
        <v>12484</v>
      </c>
      <c r="AS852" t="s">
        <v>12485</v>
      </c>
      <c r="AT852" t="s">
        <v>13402</v>
      </c>
      <c r="AU852">
        <v>2007</v>
      </c>
      <c r="AV852">
        <v>152</v>
      </c>
      <c r="AW852">
        <v>5</v>
      </c>
      <c r="AX852" t="s">
        <v>74</v>
      </c>
      <c r="AY852" t="s">
        <v>74</v>
      </c>
      <c r="AZ852" t="s">
        <v>74</v>
      </c>
      <c r="BA852" t="s">
        <v>74</v>
      </c>
      <c r="BB852">
        <v>1133</v>
      </c>
      <c r="BC852">
        <v>1142</v>
      </c>
      <c r="BD852" t="s">
        <v>74</v>
      </c>
      <c r="BE852" t="s">
        <v>14029</v>
      </c>
      <c r="BF852" t="str">
        <f>HYPERLINK("http://dx.doi.org/10.1007/s00227-007-0762-5","http://dx.doi.org/10.1007/s00227-007-0762-5")</f>
        <v>http://dx.doi.org/10.1007/s00227-007-0762-5</v>
      </c>
      <c r="BG852" t="s">
        <v>74</v>
      </c>
      <c r="BH852" t="s">
        <v>74</v>
      </c>
      <c r="BI852">
        <v>10</v>
      </c>
      <c r="BJ852" t="s">
        <v>2015</v>
      </c>
      <c r="BK852" t="s">
        <v>97</v>
      </c>
      <c r="BL852" t="s">
        <v>2015</v>
      </c>
      <c r="BM852" t="s">
        <v>14030</v>
      </c>
      <c r="BN852" t="s">
        <v>74</v>
      </c>
      <c r="BO852" t="s">
        <v>74</v>
      </c>
      <c r="BP852" t="s">
        <v>74</v>
      </c>
      <c r="BQ852" t="s">
        <v>74</v>
      </c>
      <c r="BR852" t="s">
        <v>100</v>
      </c>
      <c r="BS852" t="s">
        <v>14031</v>
      </c>
      <c r="BT852" t="str">
        <f>HYPERLINK("https%3A%2F%2Fwww.webofscience.com%2Fwos%2Fwoscc%2Ffull-record%2FWOS:000249503900012","View Full Record in Web of Science")</f>
        <v>View Full Record in Web of Science</v>
      </c>
    </row>
    <row r="853" spans="1:72" x14ac:dyDescent="0.15">
      <c r="A853" t="s">
        <v>72</v>
      </c>
      <c r="B853" t="s">
        <v>14032</v>
      </c>
      <c r="C853" t="s">
        <v>74</v>
      </c>
      <c r="D853" t="s">
        <v>74</v>
      </c>
      <c r="E853" t="s">
        <v>74</v>
      </c>
      <c r="F853" t="s">
        <v>14033</v>
      </c>
      <c r="G853" t="s">
        <v>74</v>
      </c>
      <c r="H853" t="s">
        <v>74</v>
      </c>
      <c r="I853" t="s">
        <v>14034</v>
      </c>
      <c r="J853" t="s">
        <v>6616</v>
      </c>
      <c r="K853" t="s">
        <v>74</v>
      </c>
      <c r="L853" t="s">
        <v>74</v>
      </c>
      <c r="M853" t="s">
        <v>78</v>
      </c>
      <c r="N853" t="s">
        <v>79</v>
      </c>
      <c r="O853" t="s">
        <v>74</v>
      </c>
      <c r="P853" t="s">
        <v>74</v>
      </c>
      <c r="Q853" t="s">
        <v>74</v>
      </c>
      <c r="R853" t="s">
        <v>74</v>
      </c>
      <c r="S853" t="s">
        <v>74</v>
      </c>
      <c r="T853" t="s">
        <v>14035</v>
      </c>
      <c r="U853" t="s">
        <v>14036</v>
      </c>
      <c r="V853" t="s">
        <v>14037</v>
      </c>
      <c r="W853" t="s">
        <v>14038</v>
      </c>
      <c r="X853" t="s">
        <v>14039</v>
      </c>
      <c r="Y853" t="s">
        <v>14040</v>
      </c>
      <c r="Z853" t="s">
        <v>14041</v>
      </c>
      <c r="AA853" t="s">
        <v>14042</v>
      </c>
      <c r="AB853" t="s">
        <v>74</v>
      </c>
      <c r="AC853" t="s">
        <v>74</v>
      </c>
      <c r="AD853" t="s">
        <v>74</v>
      </c>
      <c r="AE853" t="s">
        <v>74</v>
      </c>
      <c r="AF853" t="s">
        <v>74</v>
      </c>
      <c r="AG853">
        <v>47</v>
      </c>
      <c r="AH853">
        <v>58</v>
      </c>
      <c r="AI853">
        <v>69</v>
      </c>
      <c r="AJ853">
        <v>1</v>
      </c>
      <c r="AK853">
        <v>21</v>
      </c>
      <c r="AL853" t="s">
        <v>1219</v>
      </c>
      <c r="AM853" t="s">
        <v>89</v>
      </c>
      <c r="AN853" t="s">
        <v>90</v>
      </c>
      <c r="AO853" t="s">
        <v>6624</v>
      </c>
      <c r="AP853" t="s">
        <v>6625</v>
      </c>
      <c r="AQ853" t="s">
        <v>74</v>
      </c>
      <c r="AR853" t="s">
        <v>6626</v>
      </c>
      <c r="AS853" t="s">
        <v>6627</v>
      </c>
      <c r="AT853" t="s">
        <v>13402</v>
      </c>
      <c r="AU853">
        <v>2007</v>
      </c>
      <c r="AV853">
        <v>23</v>
      </c>
      <c r="AW853">
        <v>4</v>
      </c>
      <c r="AX853" t="s">
        <v>74</v>
      </c>
      <c r="AY853" t="s">
        <v>74</v>
      </c>
      <c r="AZ853" t="s">
        <v>74</v>
      </c>
      <c r="BA853" t="s">
        <v>74</v>
      </c>
      <c r="BB853">
        <v>803</v>
      </c>
      <c r="BC853">
        <v>833</v>
      </c>
      <c r="BD853" t="s">
        <v>74</v>
      </c>
      <c r="BE853" t="s">
        <v>14043</v>
      </c>
      <c r="BF853" t="str">
        <f>HYPERLINK("http://dx.doi.org/10.1111/j.1748-7692.2007.00137.x","http://dx.doi.org/10.1111/j.1748-7692.2007.00137.x")</f>
        <v>http://dx.doi.org/10.1111/j.1748-7692.2007.00137.x</v>
      </c>
      <c r="BG853" t="s">
        <v>74</v>
      </c>
      <c r="BH853" t="s">
        <v>74</v>
      </c>
      <c r="BI853">
        <v>31</v>
      </c>
      <c r="BJ853" t="s">
        <v>5098</v>
      </c>
      <c r="BK853" t="s">
        <v>97</v>
      </c>
      <c r="BL853" t="s">
        <v>5098</v>
      </c>
      <c r="BM853" t="s">
        <v>14044</v>
      </c>
      <c r="BN853" t="s">
        <v>74</v>
      </c>
      <c r="BO853" t="s">
        <v>74</v>
      </c>
      <c r="BP853" t="s">
        <v>74</v>
      </c>
      <c r="BQ853" t="s">
        <v>74</v>
      </c>
      <c r="BR853" t="s">
        <v>100</v>
      </c>
      <c r="BS853" t="s">
        <v>14045</v>
      </c>
      <c r="BT853" t="str">
        <f>HYPERLINK("https%3A%2F%2Fwww.webofscience.com%2Fwos%2Fwoscc%2Ffull-record%2FWOS:000250087100004","View Full Record in Web of Science")</f>
        <v>View Full Record in Web of Science</v>
      </c>
    </row>
    <row r="854" spans="1:72" x14ac:dyDescent="0.15">
      <c r="A854" t="s">
        <v>72</v>
      </c>
      <c r="B854" t="s">
        <v>14046</v>
      </c>
      <c r="C854" t="s">
        <v>74</v>
      </c>
      <c r="D854" t="s">
        <v>74</v>
      </c>
      <c r="E854" t="s">
        <v>74</v>
      </c>
      <c r="F854" t="s">
        <v>14047</v>
      </c>
      <c r="G854" t="s">
        <v>74</v>
      </c>
      <c r="H854" t="s">
        <v>74</v>
      </c>
      <c r="I854" t="s">
        <v>14048</v>
      </c>
      <c r="J854" t="s">
        <v>10584</v>
      </c>
      <c r="K854" t="s">
        <v>74</v>
      </c>
      <c r="L854" t="s">
        <v>74</v>
      </c>
      <c r="M854" t="s">
        <v>78</v>
      </c>
      <c r="N854" t="s">
        <v>79</v>
      </c>
      <c r="O854" t="s">
        <v>74</v>
      </c>
      <c r="P854" t="s">
        <v>74</v>
      </c>
      <c r="Q854" t="s">
        <v>74</v>
      </c>
      <c r="R854" t="s">
        <v>74</v>
      </c>
      <c r="S854" t="s">
        <v>74</v>
      </c>
      <c r="T854" t="s">
        <v>74</v>
      </c>
      <c r="U854" t="s">
        <v>14049</v>
      </c>
      <c r="V854" t="s">
        <v>14050</v>
      </c>
      <c r="W854" t="s">
        <v>14051</v>
      </c>
      <c r="X854" t="s">
        <v>14052</v>
      </c>
      <c r="Y854" t="s">
        <v>14053</v>
      </c>
      <c r="Z854" t="s">
        <v>14054</v>
      </c>
      <c r="AA854" t="s">
        <v>14055</v>
      </c>
      <c r="AB854" t="s">
        <v>14056</v>
      </c>
      <c r="AC854" t="s">
        <v>74</v>
      </c>
      <c r="AD854" t="s">
        <v>74</v>
      </c>
      <c r="AE854" t="s">
        <v>74</v>
      </c>
      <c r="AF854" t="s">
        <v>74</v>
      </c>
      <c r="AG854">
        <v>59</v>
      </c>
      <c r="AH854">
        <v>3</v>
      </c>
      <c r="AI854">
        <v>3</v>
      </c>
      <c r="AJ854">
        <v>1</v>
      </c>
      <c r="AK854">
        <v>13</v>
      </c>
      <c r="AL854" t="s">
        <v>1219</v>
      </c>
      <c r="AM854" t="s">
        <v>89</v>
      </c>
      <c r="AN854" t="s">
        <v>90</v>
      </c>
      <c r="AO854" t="s">
        <v>10593</v>
      </c>
      <c r="AP854" t="s">
        <v>14057</v>
      </c>
      <c r="AQ854" t="s">
        <v>74</v>
      </c>
      <c r="AR854" t="s">
        <v>10594</v>
      </c>
      <c r="AS854" t="s">
        <v>10595</v>
      </c>
      <c r="AT854" t="s">
        <v>13402</v>
      </c>
      <c r="AU854">
        <v>2007</v>
      </c>
      <c r="AV854">
        <v>42</v>
      </c>
      <c r="AW854">
        <v>10</v>
      </c>
      <c r="AX854" t="s">
        <v>74</v>
      </c>
      <c r="AY854" t="s">
        <v>74</v>
      </c>
      <c r="AZ854" t="s">
        <v>74</v>
      </c>
      <c r="BA854" t="s">
        <v>74</v>
      </c>
      <c r="BB854">
        <v>1831</v>
      </c>
      <c r="BC854">
        <v>1840</v>
      </c>
      <c r="BD854" t="s">
        <v>74</v>
      </c>
      <c r="BE854" t="s">
        <v>14058</v>
      </c>
      <c r="BF854" t="str">
        <f>HYPERLINK("http://dx.doi.org/10.1111/j.1945-5100.2007.tb00541.x","http://dx.doi.org/10.1111/j.1945-5100.2007.tb00541.x")</f>
        <v>http://dx.doi.org/10.1111/j.1945-5100.2007.tb00541.x</v>
      </c>
      <c r="BG854" t="s">
        <v>74</v>
      </c>
      <c r="BH854" t="s">
        <v>74</v>
      </c>
      <c r="BI854">
        <v>10</v>
      </c>
      <c r="BJ854" t="s">
        <v>553</v>
      </c>
      <c r="BK854" t="s">
        <v>97</v>
      </c>
      <c r="BL854" t="s">
        <v>553</v>
      </c>
      <c r="BM854" t="s">
        <v>14059</v>
      </c>
      <c r="BN854" t="s">
        <v>74</v>
      </c>
      <c r="BO854" t="s">
        <v>179</v>
      </c>
      <c r="BP854" t="s">
        <v>74</v>
      </c>
      <c r="BQ854" t="s">
        <v>74</v>
      </c>
      <c r="BR854" t="s">
        <v>100</v>
      </c>
      <c r="BS854" t="s">
        <v>14060</v>
      </c>
      <c r="BT854" t="str">
        <f>HYPERLINK("https%3A%2F%2Fwww.webofscience.com%2Fwos%2Fwoscc%2Ffull-record%2FWOS:000252529700011","View Full Record in Web of Science")</f>
        <v>View Full Record in Web of Science</v>
      </c>
    </row>
    <row r="855" spans="1:72" x14ac:dyDescent="0.15">
      <c r="A855" t="s">
        <v>72</v>
      </c>
      <c r="B855" t="s">
        <v>14061</v>
      </c>
      <c r="C855" t="s">
        <v>74</v>
      </c>
      <c r="D855" t="s">
        <v>74</v>
      </c>
      <c r="E855" t="s">
        <v>74</v>
      </c>
      <c r="F855" t="s">
        <v>14062</v>
      </c>
      <c r="G855" t="s">
        <v>74</v>
      </c>
      <c r="H855" t="s">
        <v>74</v>
      </c>
      <c r="I855" t="s">
        <v>14063</v>
      </c>
      <c r="J855" t="s">
        <v>10602</v>
      </c>
      <c r="K855" t="s">
        <v>74</v>
      </c>
      <c r="L855" t="s">
        <v>74</v>
      </c>
      <c r="M855" t="s">
        <v>78</v>
      </c>
      <c r="N855" t="s">
        <v>79</v>
      </c>
      <c r="O855" t="s">
        <v>74</v>
      </c>
      <c r="P855" t="s">
        <v>74</v>
      </c>
      <c r="Q855" t="s">
        <v>74</v>
      </c>
      <c r="R855" t="s">
        <v>74</v>
      </c>
      <c r="S855" t="s">
        <v>74</v>
      </c>
      <c r="T855" t="s">
        <v>14064</v>
      </c>
      <c r="U855" t="s">
        <v>14065</v>
      </c>
      <c r="V855" t="s">
        <v>14066</v>
      </c>
      <c r="W855" t="s">
        <v>14067</v>
      </c>
      <c r="X855" t="s">
        <v>14068</v>
      </c>
      <c r="Y855" t="s">
        <v>14069</v>
      </c>
      <c r="Z855" t="s">
        <v>14070</v>
      </c>
      <c r="AA855" t="s">
        <v>14071</v>
      </c>
      <c r="AB855" t="s">
        <v>14072</v>
      </c>
      <c r="AC855" t="s">
        <v>14073</v>
      </c>
      <c r="AD855" t="s">
        <v>444</v>
      </c>
      <c r="AE855" t="s">
        <v>74</v>
      </c>
      <c r="AF855" t="s">
        <v>74</v>
      </c>
      <c r="AG855">
        <v>50</v>
      </c>
      <c r="AH855">
        <v>121</v>
      </c>
      <c r="AI855">
        <v>129</v>
      </c>
      <c r="AJ855">
        <v>1</v>
      </c>
      <c r="AK855">
        <v>32</v>
      </c>
      <c r="AL855" t="s">
        <v>6640</v>
      </c>
      <c r="AM855" t="s">
        <v>522</v>
      </c>
      <c r="AN855" t="s">
        <v>6641</v>
      </c>
      <c r="AO855" t="s">
        <v>10611</v>
      </c>
      <c r="AP855" t="s">
        <v>74</v>
      </c>
      <c r="AQ855" t="s">
        <v>74</v>
      </c>
      <c r="AR855" t="s">
        <v>10612</v>
      </c>
      <c r="AS855" t="s">
        <v>10613</v>
      </c>
      <c r="AT855" t="s">
        <v>13402</v>
      </c>
      <c r="AU855">
        <v>2007</v>
      </c>
      <c r="AV855">
        <v>16</v>
      </c>
      <c r="AW855">
        <v>19</v>
      </c>
      <c r="AX855" t="s">
        <v>74</v>
      </c>
      <c r="AY855" t="s">
        <v>74</v>
      </c>
      <c r="AZ855" t="s">
        <v>74</v>
      </c>
      <c r="BA855" t="s">
        <v>74</v>
      </c>
      <c r="BB855">
        <v>4089</v>
      </c>
      <c r="BC855">
        <v>4096</v>
      </c>
      <c r="BD855" t="s">
        <v>74</v>
      </c>
      <c r="BE855" t="s">
        <v>14074</v>
      </c>
      <c r="BF855" t="str">
        <f>HYPERLINK("http://dx.doi.org/10.1111/j.1365-294X.2007.03465.x","http://dx.doi.org/10.1111/j.1365-294X.2007.03465.x")</f>
        <v>http://dx.doi.org/10.1111/j.1365-294X.2007.03465.x</v>
      </c>
      <c r="BG855" t="s">
        <v>74</v>
      </c>
      <c r="BH855" t="s">
        <v>74</v>
      </c>
      <c r="BI855">
        <v>8</v>
      </c>
      <c r="BJ855" t="s">
        <v>10615</v>
      </c>
      <c r="BK855" t="s">
        <v>97</v>
      </c>
      <c r="BL855" t="s">
        <v>10616</v>
      </c>
      <c r="BM855" t="s">
        <v>14075</v>
      </c>
      <c r="BN855">
        <v>17725572</v>
      </c>
      <c r="BO855" t="s">
        <v>74</v>
      </c>
      <c r="BP855" t="s">
        <v>74</v>
      </c>
      <c r="BQ855" t="s">
        <v>74</v>
      </c>
      <c r="BR855" t="s">
        <v>100</v>
      </c>
      <c r="BS855" t="s">
        <v>14076</v>
      </c>
      <c r="BT855" t="str">
        <f>HYPERLINK("https%3A%2F%2Fwww.webofscience.com%2Fwos%2Fwoscc%2Ffull-record%2FWOS:000249829500011","View Full Record in Web of Science")</f>
        <v>View Full Record in Web of Science</v>
      </c>
    </row>
    <row r="856" spans="1:72" x14ac:dyDescent="0.15">
      <c r="A856" t="s">
        <v>72</v>
      </c>
      <c r="B856" t="s">
        <v>14077</v>
      </c>
      <c r="C856" t="s">
        <v>74</v>
      </c>
      <c r="D856" t="s">
        <v>74</v>
      </c>
      <c r="E856" t="s">
        <v>74</v>
      </c>
      <c r="F856" t="s">
        <v>14078</v>
      </c>
      <c r="G856" t="s">
        <v>74</v>
      </c>
      <c r="H856" t="s">
        <v>74</v>
      </c>
      <c r="I856" t="s">
        <v>14079</v>
      </c>
      <c r="J856" t="s">
        <v>14080</v>
      </c>
      <c r="K856" t="s">
        <v>74</v>
      </c>
      <c r="L856" t="s">
        <v>74</v>
      </c>
      <c r="M856" t="s">
        <v>78</v>
      </c>
      <c r="N856" t="s">
        <v>79</v>
      </c>
      <c r="O856" t="s">
        <v>74</v>
      </c>
      <c r="P856" t="s">
        <v>74</v>
      </c>
      <c r="Q856" t="s">
        <v>74</v>
      </c>
      <c r="R856" t="s">
        <v>74</v>
      </c>
      <c r="S856" t="s">
        <v>74</v>
      </c>
      <c r="T856" t="s">
        <v>74</v>
      </c>
      <c r="U856" t="s">
        <v>14081</v>
      </c>
      <c r="V856" t="s">
        <v>14082</v>
      </c>
      <c r="W856" t="s">
        <v>14083</v>
      </c>
      <c r="X856" t="s">
        <v>14084</v>
      </c>
      <c r="Y856" t="s">
        <v>14085</v>
      </c>
      <c r="Z856" t="s">
        <v>14086</v>
      </c>
      <c r="AA856" t="s">
        <v>74</v>
      </c>
      <c r="AB856" t="s">
        <v>74</v>
      </c>
      <c r="AC856" t="s">
        <v>14087</v>
      </c>
      <c r="AD856" t="s">
        <v>14087</v>
      </c>
      <c r="AE856" t="s">
        <v>14088</v>
      </c>
      <c r="AF856" t="s">
        <v>74</v>
      </c>
      <c r="AG856">
        <v>28</v>
      </c>
      <c r="AH856">
        <v>3</v>
      </c>
      <c r="AI856">
        <v>3</v>
      </c>
      <c r="AJ856">
        <v>0</v>
      </c>
      <c r="AK856">
        <v>0</v>
      </c>
      <c r="AL856" t="s">
        <v>143</v>
      </c>
      <c r="AM856" t="s">
        <v>144</v>
      </c>
      <c r="AN856" t="s">
        <v>145</v>
      </c>
      <c r="AO856" t="s">
        <v>14089</v>
      </c>
      <c r="AP856" t="s">
        <v>14090</v>
      </c>
      <c r="AQ856" t="s">
        <v>74</v>
      </c>
      <c r="AR856" t="s">
        <v>14091</v>
      </c>
      <c r="AS856" t="s">
        <v>14092</v>
      </c>
      <c r="AT856" t="s">
        <v>13402</v>
      </c>
      <c r="AU856">
        <v>2007</v>
      </c>
      <c r="AV856">
        <v>62</v>
      </c>
      <c r="AW856">
        <v>5</v>
      </c>
      <c r="AX856" t="s">
        <v>74</v>
      </c>
      <c r="AY856" t="s">
        <v>74</v>
      </c>
      <c r="AZ856" t="s">
        <v>74</v>
      </c>
      <c r="BA856" t="s">
        <v>74</v>
      </c>
      <c r="BB856">
        <v>293</v>
      </c>
      <c r="BC856">
        <v>305</v>
      </c>
      <c r="BD856" t="s">
        <v>74</v>
      </c>
      <c r="BE856" t="s">
        <v>14093</v>
      </c>
      <c r="BF856" t="str">
        <f>HYPERLINK("http://dx.doi.org/10.3103/S0145875207050018","http://dx.doi.org/10.3103/S0145875207050018")</f>
        <v>http://dx.doi.org/10.3103/S0145875207050018</v>
      </c>
      <c r="BG856" t="s">
        <v>74</v>
      </c>
      <c r="BH856" t="s">
        <v>74</v>
      </c>
      <c r="BI856">
        <v>13</v>
      </c>
      <c r="BJ856" t="s">
        <v>98</v>
      </c>
      <c r="BK856" t="s">
        <v>2166</v>
      </c>
      <c r="BL856" t="s">
        <v>98</v>
      </c>
      <c r="BM856" t="s">
        <v>14094</v>
      </c>
      <c r="BN856" t="s">
        <v>74</v>
      </c>
      <c r="BO856" t="s">
        <v>74</v>
      </c>
      <c r="BP856" t="s">
        <v>74</v>
      </c>
      <c r="BQ856" t="s">
        <v>74</v>
      </c>
      <c r="BR856" t="s">
        <v>100</v>
      </c>
      <c r="BS856" t="s">
        <v>14095</v>
      </c>
      <c r="BT856" t="str">
        <f>HYPERLINK("https%3A%2F%2Fwww.webofscience.com%2Fwos%2Fwoscc%2Ffull-record%2FWOS:000217758300001","View Full Record in Web of Science")</f>
        <v>View Full Record in Web of Science</v>
      </c>
    </row>
    <row r="857" spans="1:72" x14ac:dyDescent="0.15">
      <c r="A857" t="s">
        <v>72</v>
      </c>
      <c r="B857" t="s">
        <v>14096</v>
      </c>
      <c r="C857" t="s">
        <v>74</v>
      </c>
      <c r="D857" t="s">
        <v>74</v>
      </c>
      <c r="E857" t="s">
        <v>74</v>
      </c>
      <c r="F857" t="s">
        <v>14097</v>
      </c>
      <c r="G857" t="s">
        <v>74</v>
      </c>
      <c r="H857" t="s">
        <v>74</v>
      </c>
      <c r="I857" t="s">
        <v>14098</v>
      </c>
      <c r="J857" t="s">
        <v>14099</v>
      </c>
      <c r="K857" t="s">
        <v>74</v>
      </c>
      <c r="L857" t="s">
        <v>74</v>
      </c>
      <c r="M857" t="s">
        <v>78</v>
      </c>
      <c r="N857" t="s">
        <v>79</v>
      </c>
      <c r="O857" t="s">
        <v>74</v>
      </c>
      <c r="P857" t="s">
        <v>74</v>
      </c>
      <c r="Q857" t="s">
        <v>74</v>
      </c>
      <c r="R857" t="s">
        <v>74</v>
      </c>
      <c r="S857" t="s">
        <v>74</v>
      </c>
      <c r="T857" t="s">
        <v>74</v>
      </c>
      <c r="U857" t="s">
        <v>74</v>
      </c>
      <c r="V857" t="s">
        <v>14100</v>
      </c>
      <c r="W857" t="s">
        <v>14101</v>
      </c>
      <c r="X857" t="s">
        <v>3094</v>
      </c>
      <c r="Y857" t="s">
        <v>14102</v>
      </c>
      <c r="Z857" t="s">
        <v>14103</v>
      </c>
      <c r="AA857" t="s">
        <v>14104</v>
      </c>
      <c r="AB857" t="s">
        <v>14105</v>
      </c>
      <c r="AC857" t="s">
        <v>74</v>
      </c>
      <c r="AD857" t="s">
        <v>74</v>
      </c>
      <c r="AE857" t="s">
        <v>74</v>
      </c>
      <c r="AF857" t="s">
        <v>74</v>
      </c>
      <c r="AG857">
        <v>18</v>
      </c>
      <c r="AH857">
        <v>2</v>
      </c>
      <c r="AI857">
        <v>2</v>
      </c>
      <c r="AJ857">
        <v>0</v>
      </c>
      <c r="AK857">
        <v>4</v>
      </c>
      <c r="AL857" t="s">
        <v>9863</v>
      </c>
      <c r="AM857" t="s">
        <v>662</v>
      </c>
      <c r="AN857" t="s">
        <v>9864</v>
      </c>
      <c r="AO857" t="s">
        <v>14106</v>
      </c>
      <c r="AP857" t="s">
        <v>14107</v>
      </c>
      <c r="AQ857" t="s">
        <v>74</v>
      </c>
      <c r="AR857" t="s">
        <v>14108</v>
      </c>
      <c r="AS857" t="s">
        <v>14109</v>
      </c>
      <c r="AT857" t="s">
        <v>13402</v>
      </c>
      <c r="AU857">
        <v>2007</v>
      </c>
      <c r="AV857">
        <v>47</v>
      </c>
      <c r="AW857">
        <v>5</v>
      </c>
      <c r="AX857" t="s">
        <v>74</v>
      </c>
      <c r="AY857" t="s">
        <v>74</v>
      </c>
      <c r="AZ857" t="s">
        <v>74</v>
      </c>
      <c r="BA857" t="s">
        <v>74</v>
      </c>
      <c r="BB857">
        <v>626</v>
      </c>
      <c r="BC857">
        <v>635</v>
      </c>
      <c r="BD857" t="s">
        <v>74</v>
      </c>
      <c r="BE857" t="s">
        <v>14110</v>
      </c>
      <c r="BF857" t="str">
        <f>HYPERLINK("http://dx.doi.org/10.1134/S0001437007050049","http://dx.doi.org/10.1134/S0001437007050049")</f>
        <v>http://dx.doi.org/10.1134/S0001437007050049</v>
      </c>
      <c r="BG857" t="s">
        <v>74</v>
      </c>
      <c r="BH857" t="s">
        <v>74</v>
      </c>
      <c r="BI857">
        <v>10</v>
      </c>
      <c r="BJ857" t="s">
        <v>630</v>
      </c>
      <c r="BK857" t="s">
        <v>97</v>
      </c>
      <c r="BL857" t="s">
        <v>630</v>
      </c>
      <c r="BM857" t="s">
        <v>14111</v>
      </c>
      <c r="BN857" t="s">
        <v>74</v>
      </c>
      <c r="BO857" t="s">
        <v>74</v>
      </c>
      <c r="BP857" t="s">
        <v>74</v>
      </c>
      <c r="BQ857" t="s">
        <v>74</v>
      </c>
      <c r="BR857" t="s">
        <v>100</v>
      </c>
      <c r="BS857" t="s">
        <v>14112</v>
      </c>
      <c r="BT857" t="str">
        <f>HYPERLINK("https%3A%2F%2Fwww.webofscience.com%2Fwos%2Fwoscc%2Ffull-record%2FWOS:000251971200004","View Full Record in Web of Science")</f>
        <v>View Full Record in Web of Science</v>
      </c>
    </row>
    <row r="858" spans="1:72" x14ac:dyDescent="0.15">
      <c r="A858" t="s">
        <v>72</v>
      </c>
      <c r="B858" t="s">
        <v>14113</v>
      </c>
      <c r="C858" t="s">
        <v>74</v>
      </c>
      <c r="D858" t="s">
        <v>74</v>
      </c>
      <c r="E858" t="s">
        <v>74</v>
      </c>
      <c r="F858" t="s">
        <v>14114</v>
      </c>
      <c r="G858" t="s">
        <v>74</v>
      </c>
      <c r="H858" t="s">
        <v>74</v>
      </c>
      <c r="I858" t="s">
        <v>14115</v>
      </c>
      <c r="J858" t="s">
        <v>14099</v>
      </c>
      <c r="K858" t="s">
        <v>74</v>
      </c>
      <c r="L858" t="s">
        <v>74</v>
      </c>
      <c r="M858" t="s">
        <v>78</v>
      </c>
      <c r="N858" t="s">
        <v>79</v>
      </c>
      <c r="O858" t="s">
        <v>74</v>
      </c>
      <c r="P858" t="s">
        <v>74</v>
      </c>
      <c r="Q858" t="s">
        <v>74</v>
      </c>
      <c r="R858" t="s">
        <v>74</v>
      </c>
      <c r="S858" t="s">
        <v>74</v>
      </c>
      <c r="T858" t="s">
        <v>74</v>
      </c>
      <c r="U858" t="s">
        <v>14116</v>
      </c>
      <c r="V858" t="s">
        <v>14117</v>
      </c>
      <c r="W858" t="s">
        <v>14118</v>
      </c>
      <c r="X858" t="s">
        <v>14119</v>
      </c>
      <c r="Y858" t="s">
        <v>14120</v>
      </c>
      <c r="Z858" t="s">
        <v>14121</v>
      </c>
      <c r="AA858" t="s">
        <v>14122</v>
      </c>
      <c r="AB858" t="s">
        <v>14123</v>
      </c>
      <c r="AC858" t="s">
        <v>74</v>
      </c>
      <c r="AD858" t="s">
        <v>74</v>
      </c>
      <c r="AE858" t="s">
        <v>74</v>
      </c>
      <c r="AF858" t="s">
        <v>74</v>
      </c>
      <c r="AG858">
        <v>18</v>
      </c>
      <c r="AH858">
        <v>5</v>
      </c>
      <c r="AI858">
        <v>5</v>
      </c>
      <c r="AJ858">
        <v>0</v>
      </c>
      <c r="AK858">
        <v>1</v>
      </c>
      <c r="AL858" t="s">
        <v>9863</v>
      </c>
      <c r="AM858" t="s">
        <v>662</v>
      </c>
      <c r="AN858" t="s">
        <v>9864</v>
      </c>
      <c r="AO858" t="s">
        <v>14106</v>
      </c>
      <c r="AP858" t="s">
        <v>14107</v>
      </c>
      <c r="AQ858" t="s">
        <v>74</v>
      </c>
      <c r="AR858" t="s">
        <v>14108</v>
      </c>
      <c r="AS858" t="s">
        <v>14109</v>
      </c>
      <c r="AT858" t="s">
        <v>13402</v>
      </c>
      <c r="AU858">
        <v>2007</v>
      </c>
      <c r="AV858">
        <v>47</v>
      </c>
      <c r="AW858">
        <v>5</v>
      </c>
      <c r="AX858" t="s">
        <v>74</v>
      </c>
      <c r="AY858" t="s">
        <v>74</v>
      </c>
      <c r="AZ858" t="s">
        <v>74</v>
      </c>
      <c r="BA858" t="s">
        <v>74</v>
      </c>
      <c r="BB858">
        <v>636</v>
      </c>
      <c r="BC858">
        <v>646</v>
      </c>
      <c r="BD858" t="s">
        <v>74</v>
      </c>
      <c r="BE858" t="s">
        <v>14124</v>
      </c>
      <c r="BF858" t="str">
        <f>HYPERLINK("http://dx.doi.org/10.1134/S0001437007050050","http://dx.doi.org/10.1134/S0001437007050050")</f>
        <v>http://dx.doi.org/10.1134/S0001437007050050</v>
      </c>
      <c r="BG858" t="s">
        <v>74</v>
      </c>
      <c r="BH858" t="s">
        <v>74</v>
      </c>
      <c r="BI858">
        <v>11</v>
      </c>
      <c r="BJ858" t="s">
        <v>630</v>
      </c>
      <c r="BK858" t="s">
        <v>97</v>
      </c>
      <c r="BL858" t="s">
        <v>630</v>
      </c>
      <c r="BM858" t="s">
        <v>14111</v>
      </c>
      <c r="BN858" t="s">
        <v>74</v>
      </c>
      <c r="BO858" t="s">
        <v>74</v>
      </c>
      <c r="BP858" t="s">
        <v>74</v>
      </c>
      <c r="BQ858" t="s">
        <v>74</v>
      </c>
      <c r="BR858" t="s">
        <v>100</v>
      </c>
      <c r="BS858" t="s">
        <v>14125</v>
      </c>
      <c r="BT858" t="str">
        <f>HYPERLINK("https%3A%2F%2Fwww.webofscience.com%2Fwos%2Fwoscc%2Ffull-record%2FWOS:000251971200005","View Full Record in Web of Science")</f>
        <v>View Full Record in Web of Science</v>
      </c>
    </row>
    <row r="859" spans="1:72" x14ac:dyDescent="0.15">
      <c r="A859" t="s">
        <v>72</v>
      </c>
      <c r="B859" t="s">
        <v>14126</v>
      </c>
      <c r="C859" t="s">
        <v>74</v>
      </c>
      <c r="D859" t="s">
        <v>74</v>
      </c>
      <c r="E859" t="s">
        <v>74</v>
      </c>
      <c r="F859" t="s">
        <v>14127</v>
      </c>
      <c r="G859" t="s">
        <v>74</v>
      </c>
      <c r="H859" t="s">
        <v>74</v>
      </c>
      <c r="I859" t="s">
        <v>14128</v>
      </c>
      <c r="J859" t="s">
        <v>10652</v>
      </c>
      <c r="K859" t="s">
        <v>74</v>
      </c>
      <c r="L859" t="s">
        <v>74</v>
      </c>
      <c r="M859" t="s">
        <v>78</v>
      </c>
      <c r="N859" t="s">
        <v>79</v>
      </c>
      <c r="O859" t="s">
        <v>74</v>
      </c>
      <c r="P859" t="s">
        <v>74</v>
      </c>
      <c r="Q859" t="s">
        <v>74</v>
      </c>
      <c r="R859" t="s">
        <v>74</v>
      </c>
      <c r="S859" t="s">
        <v>74</v>
      </c>
      <c r="T859" t="s">
        <v>14129</v>
      </c>
      <c r="U859" t="s">
        <v>14130</v>
      </c>
      <c r="V859" t="s">
        <v>14131</v>
      </c>
      <c r="W859" t="s">
        <v>14132</v>
      </c>
      <c r="X859" t="s">
        <v>14133</v>
      </c>
      <c r="Y859" t="s">
        <v>14134</v>
      </c>
      <c r="Z859" t="s">
        <v>14135</v>
      </c>
      <c r="AA859" t="s">
        <v>14136</v>
      </c>
      <c r="AB859" t="s">
        <v>14137</v>
      </c>
      <c r="AC859" t="s">
        <v>74</v>
      </c>
      <c r="AD859" t="s">
        <v>74</v>
      </c>
      <c r="AE859" t="s">
        <v>74</v>
      </c>
      <c r="AF859" t="s">
        <v>74</v>
      </c>
      <c r="AG859">
        <v>45</v>
      </c>
      <c r="AH859">
        <v>130</v>
      </c>
      <c r="AI859">
        <v>144</v>
      </c>
      <c r="AJ859">
        <v>4</v>
      </c>
      <c r="AK859">
        <v>46</v>
      </c>
      <c r="AL859" t="s">
        <v>1265</v>
      </c>
      <c r="AM859" t="s">
        <v>662</v>
      </c>
      <c r="AN859" t="s">
        <v>7409</v>
      </c>
      <c r="AO859" t="s">
        <v>10661</v>
      </c>
      <c r="AP859" t="s">
        <v>74</v>
      </c>
      <c r="AQ859" t="s">
        <v>74</v>
      </c>
      <c r="AR859" t="s">
        <v>10652</v>
      </c>
      <c r="AS859" t="s">
        <v>10663</v>
      </c>
      <c r="AT859" t="s">
        <v>13402</v>
      </c>
      <c r="AU859">
        <v>2007</v>
      </c>
      <c r="AV859">
        <v>153</v>
      </c>
      <c r="AW859">
        <v>4</v>
      </c>
      <c r="AX859" t="s">
        <v>74</v>
      </c>
      <c r="AY859" t="s">
        <v>74</v>
      </c>
      <c r="AZ859" t="s">
        <v>74</v>
      </c>
      <c r="BA859" t="s">
        <v>74</v>
      </c>
      <c r="BB859">
        <v>845</v>
      </c>
      <c r="BC859">
        <v>855</v>
      </c>
      <c r="BD859" t="s">
        <v>74</v>
      </c>
      <c r="BE859" t="s">
        <v>14138</v>
      </c>
      <c r="BF859" t="str">
        <f>HYPERLINK("http://dx.doi.org/10.1007/s00442-007-0781-4","http://dx.doi.org/10.1007/s00442-007-0781-4")</f>
        <v>http://dx.doi.org/10.1007/s00442-007-0781-4</v>
      </c>
      <c r="BG859" t="s">
        <v>74</v>
      </c>
      <c r="BH859" t="s">
        <v>74</v>
      </c>
      <c r="BI859">
        <v>11</v>
      </c>
      <c r="BJ859" t="s">
        <v>297</v>
      </c>
      <c r="BK859" t="s">
        <v>97</v>
      </c>
      <c r="BL859" t="s">
        <v>275</v>
      </c>
      <c r="BM859" t="s">
        <v>14139</v>
      </c>
      <c r="BN859">
        <v>17566778</v>
      </c>
      <c r="BO859" t="s">
        <v>74</v>
      </c>
      <c r="BP859" t="s">
        <v>74</v>
      </c>
      <c r="BQ859" t="s">
        <v>74</v>
      </c>
      <c r="BR859" t="s">
        <v>100</v>
      </c>
      <c r="BS859" t="s">
        <v>14140</v>
      </c>
      <c r="BT859" t="str">
        <f>HYPERLINK("https%3A%2F%2Fwww.webofscience.com%2Fwos%2Fwoscc%2Ffull-record%2FWOS:000249407000006","View Full Record in Web of Science")</f>
        <v>View Full Record in Web of Science</v>
      </c>
    </row>
    <row r="860" spans="1:72" x14ac:dyDescent="0.15">
      <c r="A860" t="s">
        <v>72</v>
      </c>
      <c r="B860" t="s">
        <v>14141</v>
      </c>
      <c r="C860" t="s">
        <v>74</v>
      </c>
      <c r="D860" t="s">
        <v>74</v>
      </c>
      <c r="E860" t="s">
        <v>74</v>
      </c>
      <c r="F860" t="s">
        <v>14142</v>
      </c>
      <c r="G860" t="s">
        <v>74</v>
      </c>
      <c r="H860" t="s">
        <v>74</v>
      </c>
      <c r="I860" t="s">
        <v>14143</v>
      </c>
      <c r="J860" t="s">
        <v>14144</v>
      </c>
      <c r="K860" t="s">
        <v>74</v>
      </c>
      <c r="L860" t="s">
        <v>74</v>
      </c>
      <c r="M860" t="s">
        <v>78</v>
      </c>
      <c r="N860" t="s">
        <v>79</v>
      </c>
      <c r="O860" t="s">
        <v>74</v>
      </c>
      <c r="P860" t="s">
        <v>74</v>
      </c>
      <c r="Q860" t="s">
        <v>74</v>
      </c>
      <c r="R860" t="s">
        <v>74</v>
      </c>
      <c r="S860" t="s">
        <v>74</v>
      </c>
      <c r="T860" t="s">
        <v>74</v>
      </c>
      <c r="U860" t="s">
        <v>14145</v>
      </c>
      <c r="V860" t="s">
        <v>14146</v>
      </c>
      <c r="W860" t="s">
        <v>14147</v>
      </c>
      <c r="X860" t="s">
        <v>14148</v>
      </c>
      <c r="Y860" t="s">
        <v>14149</v>
      </c>
      <c r="Z860" t="s">
        <v>14150</v>
      </c>
      <c r="AA860" t="s">
        <v>74</v>
      </c>
      <c r="AB860" t="s">
        <v>14151</v>
      </c>
      <c r="AC860" t="s">
        <v>74</v>
      </c>
      <c r="AD860" t="s">
        <v>74</v>
      </c>
      <c r="AE860" t="s">
        <v>74</v>
      </c>
      <c r="AF860" t="s">
        <v>74</v>
      </c>
      <c r="AG860">
        <v>49</v>
      </c>
      <c r="AH860">
        <v>48</v>
      </c>
      <c r="AI860">
        <v>57</v>
      </c>
      <c r="AJ860">
        <v>1</v>
      </c>
      <c r="AK860">
        <v>23</v>
      </c>
      <c r="AL860" t="s">
        <v>1219</v>
      </c>
      <c r="AM860" t="s">
        <v>89</v>
      </c>
      <c r="AN860" t="s">
        <v>90</v>
      </c>
      <c r="AO860" t="s">
        <v>14152</v>
      </c>
      <c r="AP860" t="s">
        <v>14153</v>
      </c>
      <c r="AQ860" t="s">
        <v>74</v>
      </c>
      <c r="AR860" t="s">
        <v>14144</v>
      </c>
      <c r="AS860" t="s">
        <v>14154</v>
      </c>
      <c r="AT860" t="s">
        <v>13402</v>
      </c>
      <c r="AU860">
        <v>2007</v>
      </c>
      <c r="AV860">
        <v>116</v>
      </c>
      <c r="AW860">
        <v>10</v>
      </c>
      <c r="AX860" t="s">
        <v>74</v>
      </c>
      <c r="AY860" t="s">
        <v>74</v>
      </c>
      <c r="AZ860" t="s">
        <v>74</v>
      </c>
      <c r="BA860" t="s">
        <v>74</v>
      </c>
      <c r="BB860">
        <v>1683</v>
      </c>
      <c r="BC860">
        <v>1690</v>
      </c>
      <c r="BD860" t="s">
        <v>74</v>
      </c>
      <c r="BE860" t="s">
        <v>14155</v>
      </c>
      <c r="BF860" t="str">
        <f>HYPERLINK("http://dx.doi.org/10.1111/j.2007.0030-1299.16139.x","http://dx.doi.org/10.1111/j.2007.0030-1299.16139.x")</f>
        <v>http://dx.doi.org/10.1111/j.2007.0030-1299.16139.x</v>
      </c>
      <c r="BG860" t="s">
        <v>74</v>
      </c>
      <c r="BH860" t="s">
        <v>74</v>
      </c>
      <c r="BI860">
        <v>8</v>
      </c>
      <c r="BJ860" t="s">
        <v>297</v>
      </c>
      <c r="BK860" t="s">
        <v>97</v>
      </c>
      <c r="BL860" t="s">
        <v>275</v>
      </c>
      <c r="BM860" t="s">
        <v>14156</v>
      </c>
      <c r="BN860" t="s">
        <v>74</v>
      </c>
      <c r="BO860" t="s">
        <v>74</v>
      </c>
      <c r="BP860" t="s">
        <v>74</v>
      </c>
      <c r="BQ860" t="s">
        <v>74</v>
      </c>
      <c r="BR860" t="s">
        <v>100</v>
      </c>
      <c r="BS860" t="s">
        <v>14157</v>
      </c>
      <c r="BT860" t="str">
        <f>HYPERLINK("https%3A%2F%2Fwww.webofscience.com%2Fwos%2Fwoscc%2Ffull-record%2FWOS:000249493100009","View Full Record in Web of Science")</f>
        <v>View Full Record in Web of Science</v>
      </c>
    </row>
    <row r="861" spans="1:72" x14ac:dyDescent="0.15">
      <c r="A861" t="s">
        <v>72</v>
      </c>
      <c r="B861" t="s">
        <v>9087</v>
      </c>
      <c r="C861" t="s">
        <v>74</v>
      </c>
      <c r="D861" t="s">
        <v>74</v>
      </c>
      <c r="E861" t="s">
        <v>74</v>
      </c>
      <c r="F861" t="s">
        <v>9088</v>
      </c>
      <c r="G861" t="s">
        <v>74</v>
      </c>
      <c r="H861" t="s">
        <v>74</v>
      </c>
      <c r="I861" t="s">
        <v>14158</v>
      </c>
      <c r="J861" t="s">
        <v>14159</v>
      </c>
      <c r="K861" t="s">
        <v>74</v>
      </c>
      <c r="L861" t="s">
        <v>74</v>
      </c>
      <c r="M861" t="s">
        <v>78</v>
      </c>
      <c r="N861" t="s">
        <v>1602</v>
      </c>
      <c r="O861" t="s">
        <v>14160</v>
      </c>
      <c r="P861" t="s">
        <v>14161</v>
      </c>
      <c r="Q861" t="s">
        <v>5067</v>
      </c>
      <c r="R861" t="s">
        <v>74</v>
      </c>
      <c r="S861" t="s">
        <v>74</v>
      </c>
      <c r="T861" t="s">
        <v>14162</v>
      </c>
      <c r="U861" t="s">
        <v>14163</v>
      </c>
      <c r="V861" t="s">
        <v>14164</v>
      </c>
      <c r="W861" t="s">
        <v>14165</v>
      </c>
      <c r="X861" t="s">
        <v>6758</v>
      </c>
      <c r="Y861" t="s">
        <v>14166</v>
      </c>
      <c r="Z861" t="s">
        <v>6760</v>
      </c>
      <c r="AA861" t="s">
        <v>74</v>
      </c>
      <c r="AB861" t="s">
        <v>74</v>
      </c>
      <c r="AC861" t="s">
        <v>74</v>
      </c>
      <c r="AD861" t="s">
        <v>74</v>
      </c>
      <c r="AE861" t="s">
        <v>74</v>
      </c>
      <c r="AF861" t="s">
        <v>74</v>
      </c>
      <c r="AG861">
        <v>23</v>
      </c>
      <c r="AH861">
        <v>10</v>
      </c>
      <c r="AI861">
        <v>10</v>
      </c>
      <c r="AJ861">
        <v>0</v>
      </c>
      <c r="AK861">
        <v>20</v>
      </c>
      <c r="AL861" t="s">
        <v>1265</v>
      </c>
      <c r="AM861" t="s">
        <v>1317</v>
      </c>
      <c r="AN861" t="s">
        <v>2701</v>
      </c>
      <c r="AO861" t="s">
        <v>14167</v>
      </c>
      <c r="AP861" t="s">
        <v>74</v>
      </c>
      <c r="AQ861" t="s">
        <v>74</v>
      </c>
      <c r="AR861" t="s">
        <v>14168</v>
      </c>
      <c r="AS861" t="s">
        <v>14169</v>
      </c>
      <c r="AT861" t="s">
        <v>13402</v>
      </c>
      <c r="AU861">
        <v>2007</v>
      </c>
      <c r="AV861">
        <v>37</v>
      </c>
      <c r="AW861" t="s">
        <v>14170</v>
      </c>
      <c r="AX861" t="s">
        <v>74</v>
      </c>
      <c r="AY861" t="s">
        <v>74</v>
      </c>
      <c r="AZ861" t="s">
        <v>74</v>
      </c>
      <c r="BA861" t="s">
        <v>74</v>
      </c>
      <c r="BB861">
        <v>335</v>
      </c>
      <c r="BC861">
        <v>339</v>
      </c>
      <c r="BD861" t="s">
        <v>74</v>
      </c>
      <c r="BE861" t="s">
        <v>14171</v>
      </c>
      <c r="BF861" t="str">
        <f>HYPERLINK("http://dx.doi.org/10.1007/s11084-007-9079-0","http://dx.doi.org/10.1007/s11084-007-9079-0")</f>
        <v>http://dx.doi.org/10.1007/s11084-007-9079-0</v>
      </c>
      <c r="BG861" t="s">
        <v>74</v>
      </c>
      <c r="BH861" t="s">
        <v>74</v>
      </c>
      <c r="BI861">
        <v>5</v>
      </c>
      <c r="BJ861" t="s">
        <v>4848</v>
      </c>
      <c r="BK861" t="s">
        <v>8389</v>
      </c>
      <c r="BL861" t="s">
        <v>4849</v>
      </c>
      <c r="BM861" t="s">
        <v>14172</v>
      </c>
      <c r="BN861">
        <v>17592755</v>
      </c>
      <c r="BO861" t="s">
        <v>74</v>
      </c>
      <c r="BP861" t="s">
        <v>74</v>
      </c>
      <c r="BQ861" t="s">
        <v>74</v>
      </c>
      <c r="BR861" t="s">
        <v>100</v>
      </c>
      <c r="BS861" t="s">
        <v>14173</v>
      </c>
      <c r="BT861" t="str">
        <f>HYPERLINK("https%3A%2F%2Fwww.webofscience.com%2Fwos%2Fwoscc%2Ffull-record%2FWOS:000248905100007","View Full Record in Web of Science")</f>
        <v>View Full Record in Web of Science</v>
      </c>
    </row>
    <row r="862" spans="1:72" x14ac:dyDescent="0.15">
      <c r="A862" t="s">
        <v>72</v>
      </c>
      <c r="B862" t="s">
        <v>14174</v>
      </c>
      <c r="C862" t="s">
        <v>74</v>
      </c>
      <c r="D862" t="s">
        <v>74</v>
      </c>
      <c r="E862" t="s">
        <v>74</v>
      </c>
      <c r="F862" t="s">
        <v>14175</v>
      </c>
      <c r="G862" t="s">
        <v>74</v>
      </c>
      <c r="H862" t="s">
        <v>74</v>
      </c>
      <c r="I862" t="s">
        <v>14176</v>
      </c>
      <c r="J862" t="s">
        <v>14177</v>
      </c>
      <c r="K862" t="s">
        <v>74</v>
      </c>
      <c r="L862" t="s">
        <v>74</v>
      </c>
      <c r="M862" t="s">
        <v>78</v>
      </c>
      <c r="N862" t="s">
        <v>79</v>
      </c>
      <c r="O862" t="s">
        <v>74</v>
      </c>
      <c r="P862" t="s">
        <v>74</v>
      </c>
      <c r="Q862" t="s">
        <v>74</v>
      </c>
      <c r="R862" t="s">
        <v>74</v>
      </c>
      <c r="S862" t="s">
        <v>74</v>
      </c>
      <c r="T862" t="s">
        <v>14178</v>
      </c>
      <c r="U862" t="s">
        <v>14179</v>
      </c>
      <c r="V862" t="s">
        <v>14180</v>
      </c>
      <c r="W862" t="s">
        <v>14181</v>
      </c>
      <c r="X862" t="s">
        <v>14182</v>
      </c>
      <c r="Y862" t="s">
        <v>14183</v>
      </c>
      <c r="Z862" t="s">
        <v>14184</v>
      </c>
      <c r="AA862" t="s">
        <v>14185</v>
      </c>
      <c r="AB862" t="s">
        <v>74</v>
      </c>
      <c r="AC862" t="s">
        <v>74</v>
      </c>
      <c r="AD862" t="s">
        <v>74</v>
      </c>
      <c r="AE862" t="s">
        <v>74</v>
      </c>
      <c r="AF862" t="s">
        <v>74</v>
      </c>
      <c r="AG862">
        <v>95</v>
      </c>
      <c r="AH862">
        <v>32</v>
      </c>
      <c r="AI862">
        <v>37</v>
      </c>
      <c r="AJ862">
        <v>0</v>
      </c>
      <c r="AK862">
        <v>16</v>
      </c>
      <c r="AL862" t="s">
        <v>1265</v>
      </c>
      <c r="AM862" t="s">
        <v>1317</v>
      </c>
      <c r="AN862" t="s">
        <v>2701</v>
      </c>
      <c r="AO862" t="s">
        <v>14186</v>
      </c>
      <c r="AP862" t="s">
        <v>14187</v>
      </c>
      <c r="AQ862" t="s">
        <v>74</v>
      </c>
      <c r="AR862" t="s">
        <v>14188</v>
      </c>
      <c r="AS862" t="s">
        <v>14189</v>
      </c>
      <c r="AT862" t="s">
        <v>13402</v>
      </c>
      <c r="AU862">
        <v>2007</v>
      </c>
      <c r="AV862">
        <v>94</v>
      </c>
      <c r="AW862">
        <v>1</v>
      </c>
      <c r="AX862" t="s">
        <v>74</v>
      </c>
      <c r="AY862" t="s">
        <v>74</v>
      </c>
      <c r="AZ862" t="s">
        <v>74</v>
      </c>
      <c r="BA862" t="s">
        <v>74</v>
      </c>
      <c r="BB862">
        <v>31</v>
      </c>
      <c r="BC862">
        <v>42</v>
      </c>
      <c r="BD862" t="s">
        <v>74</v>
      </c>
      <c r="BE862" t="s">
        <v>14190</v>
      </c>
      <c r="BF862" t="str">
        <f>HYPERLINK("http://dx.doi.org/10.1007/s11120-007-9211-z","http://dx.doi.org/10.1007/s11120-007-9211-z")</f>
        <v>http://dx.doi.org/10.1007/s11120-007-9211-z</v>
      </c>
      <c r="BG862" t="s">
        <v>74</v>
      </c>
      <c r="BH862" t="s">
        <v>74</v>
      </c>
      <c r="BI862">
        <v>12</v>
      </c>
      <c r="BJ862" t="s">
        <v>6860</v>
      </c>
      <c r="BK862" t="s">
        <v>97</v>
      </c>
      <c r="BL862" t="s">
        <v>6860</v>
      </c>
      <c r="BM862" t="s">
        <v>14191</v>
      </c>
      <c r="BN862">
        <v>17611812</v>
      </c>
      <c r="BO862" t="s">
        <v>74</v>
      </c>
      <c r="BP862" t="s">
        <v>74</v>
      </c>
      <c r="BQ862" t="s">
        <v>74</v>
      </c>
      <c r="BR862" t="s">
        <v>100</v>
      </c>
      <c r="BS862" t="s">
        <v>14192</v>
      </c>
      <c r="BT862" t="str">
        <f>HYPERLINK("https%3A%2F%2Fwww.webofscience.com%2Fwos%2Fwoscc%2Ffull-record%2FWOS:000248913400004","View Full Record in Web of Science")</f>
        <v>View Full Record in Web of Science</v>
      </c>
    </row>
    <row r="863" spans="1:72" x14ac:dyDescent="0.15">
      <c r="A863" t="s">
        <v>72</v>
      </c>
      <c r="B863" t="s">
        <v>14193</v>
      </c>
      <c r="C863" t="s">
        <v>74</v>
      </c>
      <c r="D863" t="s">
        <v>74</v>
      </c>
      <c r="E863" t="s">
        <v>74</v>
      </c>
      <c r="F863" t="s">
        <v>14194</v>
      </c>
      <c r="G863" t="s">
        <v>74</v>
      </c>
      <c r="H863" t="s">
        <v>74</v>
      </c>
      <c r="I863" t="s">
        <v>14195</v>
      </c>
      <c r="J863" t="s">
        <v>7269</v>
      </c>
      <c r="K863" t="s">
        <v>74</v>
      </c>
      <c r="L863" t="s">
        <v>74</v>
      </c>
      <c r="M863" t="s">
        <v>78</v>
      </c>
      <c r="N863" t="s">
        <v>79</v>
      </c>
      <c r="O863" t="s">
        <v>74</v>
      </c>
      <c r="P863" t="s">
        <v>74</v>
      </c>
      <c r="Q863" t="s">
        <v>74</v>
      </c>
      <c r="R863" t="s">
        <v>74</v>
      </c>
      <c r="S863" t="s">
        <v>74</v>
      </c>
      <c r="T863" t="s">
        <v>14196</v>
      </c>
      <c r="U863" t="s">
        <v>14197</v>
      </c>
      <c r="V863" t="s">
        <v>14198</v>
      </c>
      <c r="W863" t="s">
        <v>14199</v>
      </c>
      <c r="X863" t="s">
        <v>14200</v>
      </c>
      <c r="Y863" t="s">
        <v>14201</v>
      </c>
      <c r="Z863" t="s">
        <v>14202</v>
      </c>
      <c r="AA863" t="s">
        <v>74</v>
      </c>
      <c r="AB863" t="s">
        <v>14203</v>
      </c>
      <c r="AC863" t="s">
        <v>74</v>
      </c>
      <c r="AD863" t="s">
        <v>74</v>
      </c>
      <c r="AE863" t="s">
        <v>74</v>
      </c>
      <c r="AF863" t="s">
        <v>74</v>
      </c>
      <c r="AG863">
        <v>58</v>
      </c>
      <c r="AH863">
        <v>63</v>
      </c>
      <c r="AI863">
        <v>70</v>
      </c>
      <c r="AJ863">
        <v>0</v>
      </c>
      <c r="AK863">
        <v>17</v>
      </c>
      <c r="AL863" t="s">
        <v>1265</v>
      </c>
      <c r="AM863" t="s">
        <v>662</v>
      </c>
      <c r="AN863" t="s">
        <v>1266</v>
      </c>
      <c r="AO863" t="s">
        <v>7277</v>
      </c>
      <c r="AP863" t="s">
        <v>7278</v>
      </c>
      <c r="AQ863" t="s">
        <v>74</v>
      </c>
      <c r="AR863" t="s">
        <v>7279</v>
      </c>
      <c r="AS863" t="s">
        <v>7280</v>
      </c>
      <c r="AT863" t="s">
        <v>13402</v>
      </c>
      <c r="AU863">
        <v>2007</v>
      </c>
      <c r="AV863">
        <v>30</v>
      </c>
      <c r="AW863">
        <v>11</v>
      </c>
      <c r="AX863" t="s">
        <v>74</v>
      </c>
      <c r="AY863" t="s">
        <v>74</v>
      </c>
      <c r="AZ863" t="s">
        <v>74</v>
      </c>
      <c r="BA863" t="s">
        <v>74</v>
      </c>
      <c r="BB863">
        <v>1381</v>
      </c>
      <c r="BC863">
        <v>1393</v>
      </c>
      <c r="BD863" t="s">
        <v>74</v>
      </c>
      <c r="BE863" t="s">
        <v>14204</v>
      </c>
      <c r="BF863" t="str">
        <f>HYPERLINK("http://dx.doi.org/10.1007/s00300-007-0299-6","http://dx.doi.org/10.1007/s00300-007-0299-6")</f>
        <v>http://dx.doi.org/10.1007/s00300-007-0299-6</v>
      </c>
      <c r="BG863" t="s">
        <v>74</v>
      </c>
      <c r="BH863" t="s">
        <v>74</v>
      </c>
      <c r="BI863">
        <v>13</v>
      </c>
      <c r="BJ863" t="s">
        <v>7282</v>
      </c>
      <c r="BK863" t="s">
        <v>97</v>
      </c>
      <c r="BL863" t="s">
        <v>7283</v>
      </c>
      <c r="BM863" t="s">
        <v>14205</v>
      </c>
      <c r="BN863" t="s">
        <v>74</v>
      </c>
      <c r="BO863" t="s">
        <v>74</v>
      </c>
      <c r="BP863" t="s">
        <v>74</v>
      </c>
      <c r="BQ863" t="s">
        <v>74</v>
      </c>
      <c r="BR863" t="s">
        <v>100</v>
      </c>
      <c r="BS863" t="s">
        <v>14206</v>
      </c>
      <c r="BT863" t="str">
        <f>HYPERLINK("https%3A%2F%2Fwww.webofscience.com%2Fwos%2Fwoscc%2Ffull-record%2FWOS:000249306800003","View Full Record in Web of Science")</f>
        <v>View Full Record in Web of Science</v>
      </c>
    </row>
    <row r="864" spans="1:72" x14ac:dyDescent="0.15">
      <c r="A864" t="s">
        <v>72</v>
      </c>
      <c r="B864" t="s">
        <v>14207</v>
      </c>
      <c r="C864" t="s">
        <v>74</v>
      </c>
      <c r="D864" t="s">
        <v>74</v>
      </c>
      <c r="E864" t="s">
        <v>74</v>
      </c>
      <c r="F864" t="s">
        <v>14208</v>
      </c>
      <c r="G864" t="s">
        <v>74</v>
      </c>
      <c r="H864" t="s">
        <v>74</v>
      </c>
      <c r="I864" t="s">
        <v>14209</v>
      </c>
      <c r="J864" t="s">
        <v>7269</v>
      </c>
      <c r="K864" t="s">
        <v>74</v>
      </c>
      <c r="L864" t="s">
        <v>74</v>
      </c>
      <c r="M864" t="s">
        <v>78</v>
      </c>
      <c r="N864" t="s">
        <v>79</v>
      </c>
      <c r="O864" t="s">
        <v>74</v>
      </c>
      <c r="P864" t="s">
        <v>74</v>
      </c>
      <c r="Q864" t="s">
        <v>74</v>
      </c>
      <c r="R864" t="s">
        <v>74</v>
      </c>
      <c r="S864" t="s">
        <v>74</v>
      </c>
      <c r="T864" t="s">
        <v>14210</v>
      </c>
      <c r="U864" t="s">
        <v>14211</v>
      </c>
      <c r="V864" t="s">
        <v>14212</v>
      </c>
      <c r="W864" t="s">
        <v>14213</v>
      </c>
      <c r="X864" t="s">
        <v>6098</v>
      </c>
      <c r="Y864" t="s">
        <v>14214</v>
      </c>
      <c r="Z864" t="s">
        <v>14215</v>
      </c>
      <c r="AA864" t="s">
        <v>14216</v>
      </c>
      <c r="AB864" t="s">
        <v>6102</v>
      </c>
      <c r="AC864" t="s">
        <v>74</v>
      </c>
      <c r="AD864" t="s">
        <v>74</v>
      </c>
      <c r="AE864" t="s">
        <v>74</v>
      </c>
      <c r="AF864" t="s">
        <v>74</v>
      </c>
      <c r="AG864">
        <v>57</v>
      </c>
      <c r="AH864">
        <v>79</v>
      </c>
      <c r="AI864">
        <v>93</v>
      </c>
      <c r="AJ864">
        <v>0</v>
      </c>
      <c r="AK864">
        <v>15</v>
      </c>
      <c r="AL864" t="s">
        <v>1265</v>
      </c>
      <c r="AM864" t="s">
        <v>662</v>
      </c>
      <c r="AN864" t="s">
        <v>1298</v>
      </c>
      <c r="AO864" t="s">
        <v>7277</v>
      </c>
      <c r="AP864" t="s">
        <v>7278</v>
      </c>
      <c r="AQ864" t="s">
        <v>74</v>
      </c>
      <c r="AR864" t="s">
        <v>7279</v>
      </c>
      <c r="AS864" t="s">
        <v>7280</v>
      </c>
      <c r="AT864" t="s">
        <v>13402</v>
      </c>
      <c r="AU864">
        <v>2007</v>
      </c>
      <c r="AV864">
        <v>30</v>
      </c>
      <c r="AW864">
        <v>11</v>
      </c>
      <c r="AX864" t="s">
        <v>74</v>
      </c>
      <c r="AY864" t="s">
        <v>74</v>
      </c>
      <c r="AZ864" t="s">
        <v>74</v>
      </c>
      <c r="BA864" t="s">
        <v>74</v>
      </c>
      <c r="BB864">
        <v>1417</v>
      </c>
      <c r="BC864">
        <v>1430</v>
      </c>
      <c r="BD864" t="s">
        <v>74</v>
      </c>
      <c r="BE864" t="s">
        <v>14217</v>
      </c>
      <c r="BF864" t="str">
        <f>HYPERLINK("http://dx.doi.org/10.1007/s00300-007-0303-1","http://dx.doi.org/10.1007/s00300-007-0303-1")</f>
        <v>http://dx.doi.org/10.1007/s00300-007-0303-1</v>
      </c>
      <c r="BG864" t="s">
        <v>74</v>
      </c>
      <c r="BH864" t="s">
        <v>74</v>
      </c>
      <c r="BI864">
        <v>14</v>
      </c>
      <c r="BJ864" t="s">
        <v>7282</v>
      </c>
      <c r="BK864" t="s">
        <v>97</v>
      </c>
      <c r="BL864" t="s">
        <v>7283</v>
      </c>
      <c r="BM864" t="s">
        <v>14205</v>
      </c>
      <c r="BN864" t="s">
        <v>74</v>
      </c>
      <c r="BO864" t="s">
        <v>74</v>
      </c>
      <c r="BP864" t="s">
        <v>74</v>
      </c>
      <c r="BQ864" t="s">
        <v>74</v>
      </c>
      <c r="BR864" t="s">
        <v>100</v>
      </c>
      <c r="BS864" t="s">
        <v>14218</v>
      </c>
      <c r="BT864" t="str">
        <f>HYPERLINK("https%3A%2F%2Fwww.webofscience.com%2Fwos%2Fwoscc%2Ffull-record%2FWOS:000249306800006","View Full Record in Web of Science")</f>
        <v>View Full Record in Web of Science</v>
      </c>
    </row>
    <row r="865" spans="1:72" x14ac:dyDescent="0.15">
      <c r="A865" t="s">
        <v>72</v>
      </c>
      <c r="B865" t="s">
        <v>14219</v>
      </c>
      <c r="C865" t="s">
        <v>74</v>
      </c>
      <c r="D865" t="s">
        <v>74</v>
      </c>
      <c r="E865" t="s">
        <v>74</v>
      </c>
      <c r="F865" t="s">
        <v>14220</v>
      </c>
      <c r="G865" t="s">
        <v>74</v>
      </c>
      <c r="H865" t="s">
        <v>74</v>
      </c>
      <c r="I865" t="s">
        <v>14221</v>
      </c>
      <c r="J865" t="s">
        <v>7269</v>
      </c>
      <c r="K865" t="s">
        <v>74</v>
      </c>
      <c r="L865" t="s">
        <v>74</v>
      </c>
      <c r="M865" t="s">
        <v>78</v>
      </c>
      <c r="N865" t="s">
        <v>79</v>
      </c>
      <c r="O865" t="s">
        <v>74</v>
      </c>
      <c r="P865" t="s">
        <v>74</v>
      </c>
      <c r="Q865" t="s">
        <v>74</v>
      </c>
      <c r="R865" t="s">
        <v>74</v>
      </c>
      <c r="S865" t="s">
        <v>74</v>
      </c>
      <c r="T865" t="s">
        <v>14222</v>
      </c>
      <c r="U865" t="s">
        <v>14223</v>
      </c>
      <c r="V865" t="s">
        <v>14224</v>
      </c>
      <c r="W865" t="s">
        <v>14225</v>
      </c>
      <c r="X865" t="s">
        <v>14226</v>
      </c>
      <c r="Y865" t="s">
        <v>14227</v>
      </c>
      <c r="Z865" t="s">
        <v>14228</v>
      </c>
      <c r="AA865" t="s">
        <v>74</v>
      </c>
      <c r="AB865" t="s">
        <v>74</v>
      </c>
      <c r="AC865" t="s">
        <v>74</v>
      </c>
      <c r="AD865" t="s">
        <v>74</v>
      </c>
      <c r="AE865" t="s">
        <v>74</v>
      </c>
      <c r="AF865" t="s">
        <v>74</v>
      </c>
      <c r="AG865">
        <v>29</v>
      </c>
      <c r="AH865">
        <v>42</v>
      </c>
      <c r="AI865">
        <v>47</v>
      </c>
      <c r="AJ865">
        <v>0</v>
      </c>
      <c r="AK865">
        <v>30</v>
      </c>
      <c r="AL865" t="s">
        <v>1265</v>
      </c>
      <c r="AM865" t="s">
        <v>662</v>
      </c>
      <c r="AN865" t="s">
        <v>1298</v>
      </c>
      <c r="AO865" t="s">
        <v>7277</v>
      </c>
      <c r="AP865" t="s">
        <v>7278</v>
      </c>
      <c r="AQ865" t="s">
        <v>74</v>
      </c>
      <c r="AR865" t="s">
        <v>7279</v>
      </c>
      <c r="AS865" t="s">
        <v>7280</v>
      </c>
      <c r="AT865" t="s">
        <v>13402</v>
      </c>
      <c r="AU865">
        <v>2007</v>
      </c>
      <c r="AV865">
        <v>30</v>
      </c>
      <c r="AW865">
        <v>11</v>
      </c>
      <c r="AX865" t="s">
        <v>74</v>
      </c>
      <c r="AY865" t="s">
        <v>74</v>
      </c>
      <c r="AZ865" t="s">
        <v>74</v>
      </c>
      <c r="BA865" t="s">
        <v>74</v>
      </c>
      <c r="BB865">
        <v>1449</v>
      </c>
      <c r="BC865">
        <v>1458</v>
      </c>
      <c r="BD865" t="s">
        <v>74</v>
      </c>
      <c r="BE865" t="s">
        <v>14229</v>
      </c>
      <c r="BF865" t="str">
        <f>HYPERLINK("http://dx.doi.org/10.1007/s00300-007-0306-y","http://dx.doi.org/10.1007/s00300-007-0306-y")</f>
        <v>http://dx.doi.org/10.1007/s00300-007-0306-y</v>
      </c>
      <c r="BG865" t="s">
        <v>74</v>
      </c>
      <c r="BH865" t="s">
        <v>74</v>
      </c>
      <c r="BI865">
        <v>10</v>
      </c>
      <c r="BJ865" t="s">
        <v>7282</v>
      </c>
      <c r="BK865" t="s">
        <v>97</v>
      </c>
      <c r="BL865" t="s">
        <v>7283</v>
      </c>
      <c r="BM865" t="s">
        <v>14205</v>
      </c>
      <c r="BN865" t="s">
        <v>74</v>
      </c>
      <c r="BO865" t="s">
        <v>74</v>
      </c>
      <c r="BP865" t="s">
        <v>74</v>
      </c>
      <c r="BQ865" t="s">
        <v>74</v>
      </c>
      <c r="BR865" t="s">
        <v>100</v>
      </c>
      <c r="BS865" t="s">
        <v>14230</v>
      </c>
      <c r="BT865" t="str">
        <f>HYPERLINK("https%3A%2F%2Fwww.webofscience.com%2Fwos%2Fwoscc%2Ffull-record%2FWOS:000249306800009","View Full Record in Web of Science")</f>
        <v>View Full Record in Web of Science</v>
      </c>
    </row>
    <row r="866" spans="1:72" x14ac:dyDescent="0.15">
      <c r="A866" t="s">
        <v>72</v>
      </c>
      <c r="B866" t="s">
        <v>14231</v>
      </c>
      <c r="C866" t="s">
        <v>74</v>
      </c>
      <c r="D866" t="s">
        <v>74</v>
      </c>
      <c r="E866" t="s">
        <v>74</v>
      </c>
      <c r="F866" t="s">
        <v>14232</v>
      </c>
      <c r="G866" t="s">
        <v>74</v>
      </c>
      <c r="H866" t="s">
        <v>74</v>
      </c>
      <c r="I866" t="s">
        <v>14233</v>
      </c>
      <c r="J866" t="s">
        <v>7269</v>
      </c>
      <c r="K866" t="s">
        <v>74</v>
      </c>
      <c r="L866" t="s">
        <v>74</v>
      </c>
      <c r="M866" t="s">
        <v>78</v>
      </c>
      <c r="N866" t="s">
        <v>79</v>
      </c>
      <c r="O866" t="s">
        <v>74</v>
      </c>
      <c r="P866" t="s">
        <v>74</v>
      </c>
      <c r="Q866" t="s">
        <v>74</v>
      </c>
      <c r="R866" t="s">
        <v>74</v>
      </c>
      <c r="S866" t="s">
        <v>74</v>
      </c>
      <c r="T866" t="s">
        <v>14234</v>
      </c>
      <c r="U866" t="s">
        <v>14235</v>
      </c>
      <c r="V866" t="s">
        <v>14236</v>
      </c>
      <c r="W866" t="s">
        <v>14237</v>
      </c>
      <c r="X866" t="s">
        <v>14238</v>
      </c>
      <c r="Y866" t="s">
        <v>14239</v>
      </c>
      <c r="Z866" t="s">
        <v>14240</v>
      </c>
      <c r="AA866" t="s">
        <v>14241</v>
      </c>
      <c r="AB866" t="s">
        <v>14242</v>
      </c>
      <c r="AC866" t="s">
        <v>74</v>
      </c>
      <c r="AD866" t="s">
        <v>74</v>
      </c>
      <c r="AE866" t="s">
        <v>74</v>
      </c>
      <c r="AF866" t="s">
        <v>74</v>
      </c>
      <c r="AG866">
        <v>43</v>
      </c>
      <c r="AH866">
        <v>30</v>
      </c>
      <c r="AI866">
        <v>32</v>
      </c>
      <c r="AJ866">
        <v>0</v>
      </c>
      <c r="AK866">
        <v>5</v>
      </c>
      <c r="AL866" t="s">
        <v>1265</v>
      </c>
      <c r="AM866" t="s">
        <v>662</v>
      </c>
      <c r="AN866" t="s">
        <v>1298</v>
      </c>
      <c r="AO866" t="s">
        <v>7277</v>
      </c>
      <c r="AP866" t="s">
        <v>7278</v>
      </c>
      <c r="AQ866" t="s">
        <v>74</v>
      </c>
      <c r="AR866" t="s">
        <v>7279</v>
      </c>
      <c r="AS866" t="s">
        <v>7280</v>
      </c>
      <c r="AT866" t="s">
        <v>13402</v>
      </c>
      <c r="AU866">
        <v>2007</v>
      </c>
      <c r="AV866">
        <v>30</v>
      </c>
      <c r="AW866">
        <v>11</v>
      </c>
      <c r="AX866" t="s">
        <v>74</v>
      </c>
      <c r="AY866" t="s">
        <v>74</v>
      </c>
      <c r="AZ866" t="s">
        <v>74</v>
      </c>
      <c r="BA866" t="s">
        <v>74</v>
      </c>
      <c r="BB866">
        <v>1483</v>
      </c>
      <c r="BC866">
        <v>1492</v>
      </c>
      <c r="BD866" t="s">
        <v>74</v>
      </c>
      <c r="BE866" t="s">
        <v>14243</v>
      </c>
      <c r="BF866" t="str">
        <f>HYPERLINK("http://dx.doi.org/10.1007/s00300-007-0309-8","http://dx.doi.org/10.1007/s00300-007-0309-8")</f>
        <v>http://dx.doi.org/10.1007/s00300-007-0309-8</v>
      </c>
      <c r="BG866" t="s">
        <v>74</v>
      </c>
      <c r="BH866" t="s">
        <v>74</v>
      </c>
      <c r="BI866">
        <v>10</v>
      </c>
      <c r="BJ866" t="s">
        <v>7282</v>
      </c>
      <c r="BK866" t="s">
        <v>97</v>
      </c>
      <c r="BL866" t="s">
        <v>7283</v>
      </c>
      <c r="BM866" t="s">
        <v>14205</v>
      </c>
      <c r="BN866" t="s">
        <v>74</v>
      </c>
      <c r="BO866" t="s">
        <v>74</v>
      </c>
      <c r="BP866" t="s">
        <v>74</v>
      </c>
      <c r="BQ866" t="s">
        <v>74</v>
      </c>
      <c r="BR866" t="s">
        <v>100</v>
      </c>
      <c r="BS866" t="s">
        <v>14244</v>
      </c>
      <c r="BT866" t="str">
        <f>HYPERLINK("https%3A%2F%2Fwww.webofscience.com%2Fwos%2Fwoscc%2Ffull-record%2FWOS:000249306800012","View Full Record in Web of Science")</f>
        <v>View Full Record in Web of Science</v>
      </c>
    </row>
    <row r="867" spans="1:72" x14ac:dyDescent="0.15">
      <c r="A867" t="s">
        <v>72</v>
      </c>
      <c r="B867" t="s">
        <v>14245</v>
      </c>
      <c r="C867" t="s">
        <v>74</v>
      </c>
      <c r="D867" t="s">
        <v>74</v>
      </c>
      <c r="E867" t="s">
        <v>74</v>
      </c>
      <c r="F867" t="s">
        <v>14246</v>
      </c>
      <c r="G867" t="s">
        <v>74</v>
      </c>
      <c r="H867" t="s">
        <v>74</v>
      </c>
      <c r="I867" t="s">
        <v>14247</v>
      </c>
      <c r="J867" t="s">
        <v>7269</v>
      </c>
      <c r="K867" t="s">
        <v>74</v>
      </c>
      <c r="L867" t="s">
        <v>74</v>
      </c>
      <c r="M867" t="s">
        <v>78</v>
      </c>
      <c r="N867" t="s">
        <v>79</v>
      </c>
      <c r="O867" t="s">
        <v>74</v>
      </c>
      <c r="P867" t="s">
        <v>74</v>
      </c>
      <c r="Q867" t="s">
        <v>74</v>
      </c>
      <c r="R867" t="s">
        <v>74</v>
      </c>
      <c r="S867" t="s">
        <v>74</v>
      </c>
      <c r="T867" t="s">
        <v>14248</v>
      </c>
      <c r="U867" t="s">
        <v>14249</v>
      </c>
      <c r="V867" t="s">
        <v>14250</v>
      </c>
      <c r="W867" t="s">
        <v>14251</v>
      </c>
      <c r="X867" t="s">
        <v>14252</v>
      </c>
      <c r="Y867" t="s">
        <v>14253</v>
      </c>
      <c r="Z867" t="s">
        <v>14254</v>
      </c>
      <c r="AA867" t="s">
        <v>5741</v>
      </c>
      <c r="AB867" t="s">
        <v>14255</v>
      </c>
      <c r="AC867" t="s">
        <v>5743</v>
      </c>
      <c r="AD867" t="s">
        <v>242</v>
      </c>
      <c r="AE867" t="s">
        <v>74</v>
      </c>
      <c r="AF867" t="s">
        <v>74</v>
      </c>
      <c r="AG867">
        <v>38</v>
      </c>
      <c r="AH867">
        <v>23</v>
      </c>
      <c r="AI867">
        <v>25</v>
      </c>
      <c r="AJ867">
        <v>0</v>
      </c>
      <c r="AK867">
        <v>17</v>
      </c>
      <c r="AL867" t="s">
        <v>1265</v>
      </c>
      <c r="AM867" t="s">
        <v>662</v>
      </c>
      <c r="AN867" t="s">
        <v>1298</v>
      </c>
      <c r="AO867" t="s">
        <v>7277</v>
      </c>
      <c r="AP867" t="s">
        <v>7278</v>
      </c>
      <c r="AQ867" t="s">
        <v>74</v>
      </c>
      <c r="AR867" t="s">
        <v>7279</v>
      </c>
      <c r="AS867" t="s">
        <v>7280</v>
      </c>
      <c r="AT867" t="s">
        <v>13402</v>
      </c>
      <c r="AU867">
        <v>2007</v>
      </c>
      <c r="AV867">
        <v>30</v>
      </c>
      <c r="AW867">
        <v>11</v>
      </c>
      <c r="AX867" t="s">
        <v>74</v>
      </c>
      <c r="AY867" t="s">
        <v>74</v>
      </c>
      <c r="AZ867" t="s">
        <v>74</v>
      </c>
      <c r="BA867" t="s">
        <v>74</v>
      </c>
      <c r="BB867">
        <v>1505</v>
      </c>
      <c r="BC867">
        <v>1511</v>
      </c>
      <c r="BD867" t="s">
        <v>74</v>
      </c>
      <c r="BE867" t="s">
        <v>14256</v>
      </c>
      <c r="BF867" t="str">
        <f>HYPERLINK("http://dx.doi.org/10.1007/s00300-007-0311-1","http://dx.doi.org/10.1007/s00300-007-0311-1")</f>
        <v>http://dx.doi.org/10.1007/s00300-007-0311-1</v>
      </c>
      <c r="BG867" t="s">
        <v>74</v>
      </c>
      <c r="BH867" t="s">
        <v>74</v>
      </c>
      <c r="BI867">
        <v>7</v>
      </c>
      <c r="BJ867" t="s">
        <v>7282</v>
      </c>
      <c r="BK867" t="s">
        <v>97</v>
      </c>
      <c r="BL867" t="s">
        <v>7283</v>
      </c>
      <c r="BM867" t="s">
        <v>14205</v>
      </c>
      <c r="BN867" t="s">
        <v>74</v>
      </c>
      <c r="BO867" t="s">
        <v>74</v>
      </c>
      <c r="BP867" t="s">
        <v>74</v>
      </c>
      <c r="BQ867" t="s">
        <v>74</v>
      </c>
      <c r="BR867" t="s">
        <v>100</v>
      </c>
      <c r="BS867" t="s">
        <v>14257</v>
      </c>
      <c r="BT867" t="str">
        <f>HYPERLINK("https%3A%2F%2Fwww.webofscience.com%2Fwos%2Fwoscc%2Ffull-record%2FWOS:000249306800014","View Full Record in Web of Science")</f>
        <v>View Full Record in Web of Science</v>
      </c>
    </row>
    <row r="868" spans="1:72" x14ac:dyDescent="0.15">
      <c r="A868" t="s">
        <v>72</v>
      </c>
      <c r="B868" t="s">
        <v>14258</v>
      </c>
      <c r="C868" t="s">
        <v>74</v>
      </c>
      <c r="D868" t="s">
        <v>74</v>
      </c>
      <c r="E868" t="s">
        <v>74</v>
      </c>
      <c r="F868" t="s">
        <v>14259</v>
      </c>
      <c r="G868" t="s">
        <v>74</v>
      </c>
      <c r="H868" t="s">
        <v>74</v>
      </c>
      <c r="I868" t="s">
        <v>14260</v>
      </c>
      <c r="J868" t="s">
        <v>14261</v>
      </c>
      <c r="K868" t="s">
        <v>74</v>
      </c>
      <c r="L868" t="s">
        <v>74</v>
      </c>
      <c r="M868" t="s">
        <v>78</v>
      </c>
      <c r="N868" t="s">
        <v>79</v>
      </c>
      <c r="O868" t="s">
        <v>74</v>
      </c>
      <c r="P868" t="s">
        <v>74</v>
      </c>
      <c r="Q868" t="s">
        <v>74</v>
      </c>
      <c r="R868" t="s">
        <v>74</v>
      </c>
      <c r="S868" t="s">
        <v>74</v>
      </c>
      <c r="T868" t="s">
        <v>14262</v>
      </c>
      <c r="U868" t="s">
        <v>14263</v>
      </c>
      <c r="V868" t="s">
        <v>14264</v>
      </c>
      <c r="W868" t="s">
        <v>14265</v>
      </c>
      <c r="X868" t="s">
        <v>14266</v>
      </c>
      <c r="Y868" t="s">
        <v>14267</v>
      </c>
      <c r="Z868" t="s">
        <v>14268</v>
      </c>
      <c r="AA868" t="s">
        <v>14269</v>
      </c>
      <c r="AB868" t="s">
        <v>74</v>
      </c>
      <c r="AC868" t="s">
        <v>14270</v>
      </c>
      <c r="AD868" t="s">
        <v>444</v>
      </c>
      <c r="AE868" t="s">
        <v>74</v>
      </c>
      <c r="AF868" t="s">
        <v>74</v>
      </c>
      <c r="AG868">
        <v>25</v>
      </c>
      <c r="AH868">
        <v>57</v>
      </c>
      <c r="AI868">
        <v>57</v>
      </c>
      <c r="AJ868">
        <v>1</v>
      </c>
      <c r="AK868">
        <v>11</v>
      </c>
      <c r="AL868" t="s">
        <v>88</v>
      </c>
      <c r="AM868" t="s">
        <v>5051</v>
      </c>
      <c r="AN868" t="s">
        <v>5052</v>
      </c>
      <c r="AO868" t="s">
        <v>14271</v>
      </c>
      <c r="AP868" t="s">
        <v>74</v>
      </c>
      <c r="AQ868" t="s">
        <v>74</v>
      </c>
      <c r="AR868" t="s">
        <v>14272</v>
      </c>
      <c r="AS868" t="s">
        <v>14273</v>
      </c>
      <c r="AT868" t="s">
        <v>13402</v>
      </c>
      <c r="AU868">
        <v>2007</v>
      </c>
      <c r="AV868">
        <v>133</v>
      </c>
      <c r="AW868">
        <v>628</v>
      </c>
      <c r="AX868" t="s">
        <v>14274</v>
      </c>
      <c r="AY868" t="s">
        <v>74</v>
      </c>
      <c r="AZ868" t="s">
        <v>74</v>
      </c>
      <c r="BA868" t="s">
        <v>74</v>
      </c>
      <c r="BB868">
        <v>1855</v>
      </c>
      <c r="BC868">
        <v>1864</v>
      </c>
      <c r="BD868" t="s">
        <v>74</v>
      </c>
      <c r="BE868" t="s">
        <v>14275</v>
      </c>
      <c r="BF868" t="str">
        <f>HYPERLINK("http://dx.doi.org/10.1002/qj.153","http://dx.doi.org/10.1002/qj.153")</f>
        <v>http://dx.doi.org/10.1002/qj.153</v>
      </c>
      <c r="BG868" t="s">
        <v>74</v>
      </c>
      <c r="BH868" t="s">
        <v>74</v>
      </c>
      <c r="BI868">
        <v>10</v>
      </c>
      <c r="BJ868" t="s">
        <v>204</v>
      </c>
      <c r="BK868" t="s">
        <v>97</v>
      </c>
      <c r="BL868" t="s">
        <v>204</v>
      </c>
      <c r="BM868" t="s">
        <v>14276</v>
      </c>
      <c r="BN868" t="s">
        <v>74</v>
      </c>
      <c r="BO868" t="s">
        <v>74</v>
      </c>
      <c r="BP868" t="s">
        <v>74</v>
      </c>
      <c r="BQ868" t="s">
        <v>74</v>
      </c>
      <c r="BR868" t="s">
        <v>100</v>
      </c>
      <c r="BS868" t="s">
        <v>14277</v>
      </c>
      <c r="BT868" t="str">
        <f>HYPERLINK("https%3A%2F%2Fwww.webofscience.com%2Fwos%2Fwoscc%2Ffull-record%2FWOS:000251429400018","View Full Record in Web of Science")</f>
        <v>View Full Record in Web of Science</v>
      </c>
    </row>
    <row r="869" spans="1:72" x14ac:dyDescent="0.15">
      <c r="A869" t="s">
        <v>72</v>
      </c>
      <c r="B869" t="s">
        <v>14278</v>
      </c>
      <c r="C869" t="s">
        <v>74</v>
      </c>
      <c r="D869" t="s">
        <v>74</v>
      </c>
      <c r="E869" t="s">
        <v>74</v>
      </c>
      <c r="F869" t="s">
        <v>14279</v>
      </c>
      <c r="G869" t="s">
        <v>74</v>
      </c>
      <c r="H869" t="s">
        <v>74</v>
      </c>
      <c r="I869" t="s">
        <v>14280</v>
      </c>
      <c r="J869" t="s">
        <v>7859</v>
      </c>
      <c r="K869" t="s">
        <v>74</v>
      </c>
      <c r="L869" t="s">
        <v>74</v>
      </c>
      <c r="M869" t="s">
        <v>78</v>
      </c>
      <c r="N869" t="s">
        <v>2891</v>
      </c>
      <c r="O869" t="s">
        <v>74</v>
      </c>
      <c r="P869" t="s">
        <v>74</v>
      </c>
      <c r="Q869" t="s">
        <v>74</v>
      </c>
      <c r="R869" t="s">
        <v>74</v>
      </c>
      <c r="S869" t="s">
        <v>74</v>
      </c>
      <c r="T869" t="s">
        <v>74</v>
      </c>
      <c r="U869" t="s">
        <v>14281</v>
      </c>
      <c r="V869" t="s">
        <v>74</v>
      </c>
      <c r="W869" t="s">
        <v>14282</v>
      </c>
      <c r="X869" t="s">
        <v>14283</v>
      </c>
      <c r="Y869" t="s">
        <v>14284</v>
      </c>
      <c r="Z869" t="s">
        <v>14285</v>
      </c>
      <c r="AA869" t="s">
        <v>74</v>
      </c>
      <c r="AB869" t="s">
        <v>74</v>
      </c>
      <c r="AC869" t="s">
        <v>74</v>
      </c>
      <c r="AD869" t="s">
        <v>74</v>
      </c>
      <c r="AE869" t="s">
        <v>74</v>
      </c>
      <c r="AF869" t="s">
        <v>74</v>
      </c>
      <c r="AG869">
        <v>9</v>
      </c>
      <c r="AH869">
        <v>5</v>
      </c>
      <c r="AI869">
        <v>5</v>
      </c>
      <c r="AJ869">
        <v>0</v>
      </c>
      <c r="AK869">
        <v>8</v>
      </c>
      <c r="AL869" t="s">
        <v>521</v>
      </c>
      <c r="AM869" t="s">
        <v>522</v>
      </c>
      <c r="AN869" t="s">
        <v>523</v>
      </c>
      <c r="AO869" t="s">
        <v>7868</v>
      </c>
      <c r="AP869" t="s">
        <v>74</v>
      </c>
      <c r="AQ869" t="s">
        <v>74</v>
      </c>
      <c r="AR869" t="s">
        <v>7869</v>
      </c>
      <c r="AS869" t="s">
        <v>7870</v>
      </c>
      <c r="AT869" t="s">
        <v>13402</v>
      </c>
      <c r="AU869">
        <v>2007</v>
      </c>
      <c r="AV869">
        <v>26</v>
      </c>
      <c r="AW869" t="s">
        <v>14286</v>
      </c>
      <c r="AX869" t="s">
        <v>74</v>
      </c>
      <c r="AY869" t="s">
        <v>74</v>
      </c>
      <c r="AZ869" t="s">
        <v>74</v>
      </c>
      <c r="BA869" t="s">
        <v>74</v>
      </c>
      <c r="BB869">
        <v>2686</v>
      </c>
      <c r="BC869">
        <v>2690</v>
      </c>
      <c r="BD869" t="s">
        <v>74</v>
      </c>
      <c r="BE869" t="s">
        <v>14287</v>
      </c>
      <c r="BF869" t="str">
        <f>HYPERLINK("http://dx.doi.org/10.1016/j.quascirev.2007.07.004","http://dx.doi.org/10.1016/j.quascirev.2007.07.004")</f>
        <v>http://dx.doi.org/10.1016/j.quascirev.2007.07.004</v>
      </c>
      <c r="BG869" t="s">
        <v>74</v>
      </c>
      <c r="BH869" t="s">
        <v>74</v>
      </c>
      <c r="BI869">
        <v>5</v>
      </c>
      <c r="BJ869" t="s">
        <v>2748</v>
      </c>
      <c r="BK869" t="s">
        <v>97</v>
      </c>
      <c r="BL869" t="s">
        <v>2749</v>
      </c>
      <c r="BM869" t="s">
        <v>14288</v>
      </c>
      <c r="BN869" t="s">
        <v>74</v>
      </c>
      <c r="BO869" t="s">
        <v>74</v>
      </c>
      <c r="BP869" t="s">
        <v>74</v>
      </c>
      <c r="BQ869" t="s">
        <v>74</v>
      </c>
      <c r="BR869" t="s">
        <v>100</v>
      </c>
      <c r="BS869" t="s">
        <v>14289</v>
      </c>
      <c r="BT869" t="str">
        <f>HYPERLINK("https%3A%2F%2Fwww.webofscience.com%2Fwos%2Fwoscc%2Ffull-record%2FWOS:000251922000026","View Full Record in Web of Science")</f>
        <v>View Full Record in Web of Science</v>
      </c>
    </row>
    <row r="870" spans="1:72" x14ac:dyDescent="0.15">
      <c r="A870" t="s">
        <v>72</v>
      </c>
      <c r="B870" t="s">
        <v>14290</v>
      </c>
      <c r="C870" t="s">
        <v>74</v>
      </c>
      <c r="D870" t="s">
        <v>74</v>
      </c>
      <c r="E870" t="s">
        <v>74</v>
      </c>
      <c r="F870" t="s">
        <v>14291</v>
      </c>
      <c r="G870" t="s">
        <v>74</v>
      </c>
      <c r="H870" t="s">
        <v>74</v>
      </c>
      <c r="I870" t="s">
        <v>14292</v>
      </c>
      <c r="J870" t="s">
        <v>7859</v>
      </c>
      <c r="K870" t="s">
        <v>74</v>
      </c>
      <c r="L870" t="s">
        <v>74</v>
      </c>
      <c r="M870" t="s">
        <v>78</v>
      </c>
      <c r="N870" t="s">
        <v>2891</v>
      </c>
      <c r="O870" t="s">
        <v>74</v>
      </c>
      <c r="P870" t="s">
        <v>74</v>
      </c>
      <c r="Q870" t="s">
        <v>74</v>
      </c>
      <c r="R870" t="s">
        <v>74</v>
      </c>
      <c r="S870" t="s">
        <v>74</v>
      </c>
      <c r="T870" t="s">
        <v>74</v>
      </c>
      <c r="U870" t="s">
        <v>14293</v>
      </c>
      <c r="V870" t="s">
        <v>74</v>
      </c>
      <c r="W870" t="s">
        <v>14294</v>
      </c>
      <c r="X870" t="s">
        <v>14295</v>
      </c>
      <c r="Y870" t="s">
        <v>14296</v>
      </c>
      <c r="Z870" t="s">
        <v>14297</v>
      </c>
      <c r="AA870" t="s">
        <v>14298</v>
      </c>
      <c r="AB870" t="s">
        <v>14299</v>
      </c>
      <c r="AC870" t="s">
        <v>74</v>
      </c>
      <c r="AD870" t="s">
        <v>74</v>
      </c>
      <c r="AE870" t="s">
        <v>74</v>
      </c>
      <c r="AF870" t="s">
        <v>74</v>
      </c>
      <c r="AG870">
        <v>7</v>
      </c>
      <c r="AH870">
        <v>5</v>
      </c>
      <c r="AI870">
        <v>5</v>
      </c>
      <c r="AJ870">
        <v>0</v>
      </c>
      <c r="AK870">
        <v>6</v>
      </c>
      <c r="AL870" t="s">
        <v>521</v>
      </c>
      <c r="AM870" t="s">
        <v>522</v>
      </c>
      <c r="AN870" t="s">
        <v>523</v>
      </c>
      <c r="AO870" t="s">
        <v>7868</v>
      </c>
      <c r="AP870" t="s">
        <v>74</v>
      </c>
      <c r="AQ870" t="s">
        <v>74</v>
      </c>
      <c r="AR870" t="s">
        <v>7869</v>
      </c>
      <c r="AS870" t="s">
        <v>7870</v>
      </c>
      <c r="AT870" t="s">
        <v>13402</v>
      </c>
      <c r="AU870">
        <v>2007</v>
      </c>
      <c r="AV870">
        <v>26</v>
      </c>
      <c r="AW870" t="s">
        <v>14286</v>
      </c>
      <c r="AX870" t="s">
        <v>74</v>
      </c>
      <c r="AY870" t="s">
        <v>74</v>
      </c>
      <c r="AZ870" t="s">
        <v>74</v>
      </c>
      <c r="BA870" t="s">
        <v>74</v>
      </c>
      <c r="BB870">
        <v>2690</v>
      </c>
      <c r="BC870">
        <v>2691</v>
      </c>
      <c r="BD870" t="s">
        <v>74</v>
      </c>
      <c r="BE870" t="s">
        <v>14300</v>
      </c>
      <c r="BF870" t="str">
        <f>HYPERLINK("http://dx.doi.org/10.1016/j.quascirev.2007.07.005","http://dx.doi.org/10.1016/j.quascirev.2007.07.005")</f>
        <v>http://dx.doi.org/10.1016/j.quascirev.2007.07.005</v>
      </c>
      <c r="BG870" t="s">
        <v>74</v>
      </c>
      <c r="BH870" t="s">
        <v>74</v>
      </c>
      <c r="BI870">
        <v>2</v>
      </c>
      <c r="BJ870" t="s">
        <v>2748</v>
      </c>
      <c r="BK870" t="s">
        <v>97</v>
      </c>
      <c r="BL870" t="s">
        <v>2749</v>
      </c>
      <c r="BM870" t="s">
        <v>14288</v>
      </c>
      <c r="BN870" t="s">
        <v>74</v>
      </c>
      <c r="BO870" t="s">
        <v>74</v>
      </c>
      <c r="BP870" t="s">
        <v>74</v>
      </c>
      <c r="BQ870" t="s">
        <v>74</v>
      </c>
      <c r="BR870" t="s">
        <v>100</v>
      </c>
      <c r="BS870" t="s">
        <v>14301</v>
      </c>
      <c r="BT870" t="str">
        <f>HYPERLINK("https%3A%2F%2Fwww.webofscience.com%2Fwos%2Fwoscc%2Ffull-record%2FWOS:000251922000027","View Full Record in Web of Science")</f>
        <v>View Full Record in Web of Science</v>
      </c>
    </row>
    <row r="871" spans="1:72" x14ac:dyDescent="0.15">
      <c r="A871" t="s">
        <v>72</v>
      </c>
      <c r="B871" t="s">
        <v>14302</v>
      </c>
      <c r="C871" t="s">
        <v>74</v>
      </c>
      <c r="D871" t="s">
        <v>74</v>
      </c>
      <c r="E871" t="s">
        <v>74</v>
      </c>
      <c r="F871" t="s">
        <v>14303</v>
      </c>
      <c r="G871" t="s">
        <v>74</v>
      </c>
      <c r="H871" t="s">
        <v>74</v>
      </c>
      <c r="I871" t="s">
        <v>14304</v>
      </c>
      <c r="J871" t="s">
        <v>8021</v>
      </c>
      <c r="K871" t="s">
        <v>74</v>
      </c>
      <c r="L871" t="s">
        <v>74</v>
      </c>
      <c r="M871" t="s">
        <v>78</v>
      </c>
      <c r="N871" t="s">
        <v>79</v>
      </c>
      <c r="O871" t="s">
        <v>74</v>
      </c>
      <c r="P871" t="s">
        <v>74</v>
      </c>
      <c r="Q871" t="s">
        <v>74</v>
      </c>
      <c r="R871" t="s">
        <v>74</v>
      </c>
      <c r="S871" t="s">
        <v>74</v>
      </c>
      <c r="T871" t="s">
        <v>14305</v>
      </c>
      <c r="U871" t="s">
        <v>14306</v>
      </c>
      <c r="V871" t="s">
        <v>14307</v>
      </c>
      <c r="W871" t="s">
        <v>14308</v>
      </c>
      <c r="X871" t="s">
        <v>14309</v>
      </c>
      <c r="Y871" t="s">
        <v>14310</v>
      </c>
      <c r="Z871" t="s">
        <v>14311</v>
      </c>
      <c r="AA871" t="s">
        <v>14312</v>
      </c>
      <c r="AB871" t="s">
        <v>14313</v>
      </c>
      <c r="AC871" t="s">
        <v>74</v>
      </c>
      <c r="AD871" t="s">
        <v>74</v>
      </c>
      <c r="AE871" t="s">
        <v>74</v>
      </c>
      <c r="AF871" t="s">
        <v>74</v>
      </c>
      <c r="AG871">
        <v>27</v>
      </c>
      <c r="AH871">
        <v>7</v>
      </c>
      <c r="AI871">
        <v>15</v>
      </c>
      <c r="AJ871">
        <v>0</v>
      </c>
      <c r="AK871">
        <v>7</v>
      </c>
      <c r="AL871" t="s">
        <v>2958</v>
      </c>
      <c r="AM871" t="s">
        <v>2939</v>
      </c>
      <c r="AN871" t="s">
        <v>2940</v>
      </c>
      <c r="AO871" t="s">
        <v>8030</v>
      </c>
      <c r="AP871" t="s">
        <v>74</v>
      </c>
      <c r="AQ871" t="s">
        <v>74</v>
      </c>
      <c r="AR871" t="s">
        <v>8031</v>
      </c>
      <c r="AS871" t="s">
        <v>8032</v>
      </c>
      <c r="AT871" t="s">
        <v>13402</v>
      </c>
      <c r="AU871">
        <v>2007</v>
      </c>
      <c r="AV871">
        <v>50</v>
      </c>
      <c r="AW871">
        <v>10</v>
      </c>
      <c r="AX871" t="s">
        <v>74</v>
      </c>
      <c r="AY871" t="s">
        <v>74</v>
      </c>
      <c r="AZ871" t="s">
        <v>74</v>
      </c>
      <c r="BA871" t="s">
        <v>74</v>
      </c>
      <c r="BB871">
        <v>1521</v>
      </c>
      <c r="BC871">
        <v>1524</v>
      </c>
      <c r="BD871" t="s">
        <v>74</v>
      </c>
      <c r="BE871" t="s">
        <v>14314</v>
      </c>
      <c r="BF871" t="str">
        <f>HYPERLINK("http://dx.doi.org/10.1007/s11430-007-0089-6","http://dx.doi.org/10.1007/s11430-007-0089-6")</f>
        <v>http://dx.doi.org/10.1007/s11430-007-0089-6</v>
      </c>
      <c r="BG871" t="s">
        <v>74</v>
      </c>
      <c r="BH871" t="s">
        <v>74</v>
      </c>
      <c r="BI871">
        <v>4</v>
      </c>
      <c r="BJ871" t="s">
        <v>96</v>
      </c>
      <c r="BK871" t="s">
        <v>97</v>
      </c>
      <c r="BL871" t="s">
        <v>98</v>
      </c>
      <c r="BM871" t="s">
        <v>14315</v>
      </c>
      <c r="BN871" t="s">
        <v>74</v>
      </c>
      <c r="BO871" t="s">
        <v>74</v>
      </c>
      <c r="BP871" t="s">
        <v>74</v>
      </c>
      <c r="BQ871" t="s">
        <v>74</v>
      </c>
      <c r="BR871" t="s">
        <v>100</v>
      </c>
      <c r="BS871" t="s">
        <v>14316</v>
      </c>
      <c r="BT871" t="str">
        <f>HYPERLINK("https%3A%2F%2Fwww.webofscience.com%2Fwos%2Fwoscc%2Ffull-record%2FWOS:000250583000010","View Full Record in Web of Science")</f>
        <v>View Full Record in Web of Science</v>
      </c>
    </row>
    <row r="872" spans="1:72" x14ac:dyDescent="0.15">
      <c r="A872" t="s">
        <v>72</v>
      </c>
      <c r="B872" t="s">
        <v>14317</v>
      </c>
      <c r="C872" t="s">
        <v>74</v>
      </c>
      <c r="D872" t="s">
        <v>74</v>
      </c>
      <c r="E872" t="s">
        <v>74</v>
      </c>
      <c r="F872" t="s">
        <v>14318</v>
      </c>
      <c r="G872" t="s">
        <v>74</v>
      </c>
      <c r="H872" t="s">
        <v>74</v>
      </c>
      <c r="I872" t="s">
        <v>14319</v>
      </c>
      <c r="J872" t="s">
        <v>14320</v>
      </c>
      <c r="K872" t="s">
        <v>74</v>
      </c>
      <c r="L872" t="s">
        <v>74</v>
      </c>
      <c r="M872" t="s">
        <v>78</v>
      </c>
      <c r="N872" t="s">
        <v>79</v>
      </c>
      <c r="O872" t="s">
        <v>74</v>
      </c>
      <c r="P872" t="s">
        <v>74</v>
      </c>
      <c r="Q872" t="s">
        <v>74</v>
      </c>
      <c r="R872" t="s">
        <v>74</v>
      </c>
      <c r="S872" t="s">
        <v>74</v>
      </c>
      <c r="T872" t="s">
        <v>14321</v>
      </c>
      <c r="U872" t="s">
        <v>14322</v>
      </c>
      <c r="V872" t="s">
        <v>14323</v>
      </c>
      <c r="W872" t="s">
        <v>14324</v>
      </c>
      <c r="X872" t="s">
        <v>14325</v>
      </c>
      <c r="Y872" t="s">
        <v>14326</v>
      </c>
      <c r="Z872" t="s">
        <v>74</v>
      </c>
      <c r="AA872" t="s">
        <v>14327</v>
      </c>
      <c r="AB872" t="s">
        <v>14328</v>
      </c>
      <c r="AC872" t="s">
        <v>74</v>
      </c>
      <c r="AD872" t="s">
        <v>74</v>
      </c>
      <c r="AE872" t="s">
        <v>74</v>
      </c>
      <c r="AF872" t="s">
        <v>74</v>
      </c>
      <c r="AG872">
        <v>12</v>
      </c>
      <c r="AH872">
        <v>3</v>
      </c>
      <c r="AI872">
        <v>3</v>
      </c>
      <c r="AJ872">
        <v>0</v>
      </c>
      <c r="AK872">
        <v>3</v>
      </c>
      <c r="AL872" t="s">
        <v>9863</v>
      </c>
      <c r="AM872" t="s">
        <v>662</v>
      </c>
      <c r="AN872" t="s">
        <v>9864</v>
      </c>
      <c r="AO872" t="s">
        <v>14329</v>
      </c>
      <c r="AP872" t="s">
        <v>74</v>
      </c>
      <c r="AQ872" t="s">
        <v>74</v>
      </c>
      <c r="AR872" t="s">
        <v>14330</v>
      </c>
      <c r="AS872" t="s">
        <v>14331</v>
      </c>
      <c r="AT872" t="s">
        <v>13402</v>
      </c>
      <c r="AU872">
        <v>2007</v>
      </c>
      <c r="AV872">
        <v>41</v>
      </c>
      <c r="AW872">
        <v>5</v>
      </c>
      <c r="AX872" t="s">
        <v>74</v>
      </c>
      <c r="AY872" t="s">
        <v>74</v>
      </c>
      <c r="AZ872" t="s">
        <v>74</v>
      </c>
      <c r="BA872" t="s">
        <v>74</v>
      </c>
      <c r="BB872">
        <v>433</v>
      </c>
      <c r="BC872">
        <v>438</v>
      </c>
      <c r="BD872" t="s">
        <v>74</v>
      </c>
      <c r="BE872" t="s">
        <v>14332</v>
      </c>
      <c r="BF872" t="str">
        <f>HYPERLINK("http://dx.doi.org/10.1134/S0038094607050073","http://dx.doi.org/10.1134/S0038094607050073")</f>
        <v>http://dx.doi.org/10.1134/S0038094607050073</v>
      </c>
      <c r="BG872" t="s">
        <v>74</v>
      </c>
      <c r="BH872" t="s">
        <v>74</v>
      </c>
      <c r="BI872">
        <v>6</v>
      </c>
      <c r="BJ872" t="s">
        <v>351</v>
      </c>
      <c r="BK872" t="s">
        <v>97</v>
      </c>
      <c r="BL872" t="s">
        <v>351</v>
      </c>
      <c r="BM872" t="s">
        <v>14333</v>
      </c>
      <c r="BN872" t="s">
        <v>74</v>
      </c>
      <c r="BO872" t="s">
        <v>74</v>
      </c>
      <c r="BP872" t="s">
        <v>74</v>
      </c>
      <c r="BQ872" t="s">
        <v>74</v>
      </c>
      <c r="BR872" t="s">
        <v>100</v>
      </c>
      <c r="BS872" t="s">
        <v>14334</v>
      </c>
      <c r="BT872" t="str">
        <f>HYPERLINK("https%3A%2F%2Fwww.webofscience.com%2Fwos%2Fwoscc%2Ffull-record%2FWOS:000250243700007","View Full Record in Web of Science")</f>
        <v>View Full Record in Web of Science</v>
      </c>
    </row>
    <row r="873" spans="1:72" x14ac:dyDescent="0.15">
      <c r="A873" t="s">
        <v>72</v>
      </c>
      <c r="B873" t="s">
        <v>14335</v>
      </c>
      <c r="C873" t="s">
        <v>74</v>
      </c>
      <c r="D873" t="s">
        <v>74</v>
      </c>
      <c r="E873" t="s">
        <v>74</v>
      </c>
      <c r="F873" t="s">
        <v>14336</v>
      </c>
      <c r="G873" t="s">
        <v>74</v>
      </c>
      <c r="H873" t="s">
        <v>74</v>
      </c>
      <c r="I873" t="s">
        <v>14337</v>
      </c>
      <c r="J873" t="s">
        <v>77</v>
      </c>
      <c r="K873" t="s">
        <v>74</v>
      </c>
      <c r="L873" t="s">
        <v>74</v>
      </c>
      <c r="M873" t="s">
        <v>78</v>
      </c>
      <c r="N873" t="s">
        <v>79</v>
      </c>
      <c r="O873" t="s">
        <v>74</v>
      </c>
      <c r="P873" t="s">
        <v>74</v>
      </c>
      <c r="Q873" t="s">
        <v>74</v>
      </c>
      <c r="R873" t="s">
        <v>74</v>
      </c>
      <c r="S873" t="s">
        <v>74</v>
      </c>
      <c r="T873" t="s">
        <v>74</v>
      </c>
      <c r="U873" t="s">
        <v>14338</v>
      </c>
      <c r="V873" t="s">
        <v>14339</v>
      </c>
      <c r="W873" t="s">
        <v>14340</v>
      </c>
      <c r="X873" t="s">
        <v>14341</v>
      </c>
      <c r="Y873" t="s">
        <v>14342</v>
      </c>
      <c r="Z873" t="s">
        <v>14343</v>
      </c>
      <c r="AA873" t="s">
        <v>14344</v>
      </c>
      <c r="AB873" t="s">
        <v>14345</v>
      </c>
      <c r="AC873" t="s">
        <v>74</v>
      </c>
      <c r="AD873" t="s">
        <v>74</v>
      </c>
      <c r="AE873" t="s">
        <v>74</v>
      </c>
      <c r="AF873" t="s">
        <v>74</v>
      </c>
      <c r="AG873">
        <v>39</v>
      </c>
      <c r="AH873">
        <v>18</v>
      </c>
      <c r="AI873">
        <v>18</v>
      </c>
      <c r="AJ873">
        <v>0</v>
      </c>
      <c r="AK873">
        <v>3</v>
      </c>
      <c r="AL873" t="s">
        <v>1219</v>
      </c>
      <c r="AM873" t="s">
        <v>89</v>
      </c>
      <c r="AN873" t="s">
        <v>90</v>
      </c>
      <c r="AO873" t="s">
        <v>91</v>
      </c>
      <c r="AP873" t="s">
        <v>92</v>
      </c>
      <c r="AQ873" t="s">
        <v>74</v>
      </c>
      <c r="AR873" t="s">
        <v>77</v>
      </c>
      <c r="AS873" t="s">
        <v>93</v>
      </c>
      <c r="AT873" t="s">
        <v>13402</v>
      </c>
      <c r="AU873">
        <v>2007</v>
      </c>
      <c r="AV873">
        <v>19</v>
      </c>
      <c r="AW873">
        <v>5</v>
      </c>
      <c r="AX873" t="s">
        <v>74</v>
      </c>
      <c r="AY873" t="s">
        <v>74</v>
      </c>
      <c r="AZ873" t="s">
        <v>74</v>
      </c>
      <c r="BA873" t="s">
        <v>74</v>
      </c>
      <c r="BB873">
        <v>360</v>
      </c>
      <c r="BC873">
        <v>366</v>
      </c>
      <c r="BD873" t="s">
        <v>74</v>
      </c>
      <c r="BE873" t="s">
        <v>14346</v>
      </c>
      <c r="BF873" t="str">
        <f>HYPERLINK("http://dx.doi.org/10.1111/j.1365-3121.2007.00760.x","http://dx.doi.org/10.1111/j.1365-3121.2007.00760.x")</f>
        <v>http://dx.doi.org/10.1111/j.1365-3121.2007.00760.x</v>
      </c>
      <c r="BG873" t="s">
        <v>74</v>
      </c>
      <c r="BH873" t="s">
        <v>74</v>
      </c>
      <c r="BI873">
        <v>7</v>
      </c>
      <c r="BJ873" t="s">
        <v>96</v>
      </c>
      <c r="BK873" t="s">
        <v>97</v>
      </c>
      <c r="BL873" t="s">
        <v>98</v>
      </c>
      <c r="BM873" t="s">
        <v>14347</v>
      </c>
      <c r="BN873" t="s">
        <v>74</v>
      </c>
      <c r="BO873" t="s">
        <v>74</v>
      </c>
      <c r="BP873" t="s">
        <v>74</v>
      </c>
      <c r="BQ873" t="s">
        <v>74</v>
      </c>
      <c r="BR873" t="s">
        <v>100</v>
      </c>
      <c r="BS873" t="s">
        <v>14348</v>
      </c>
      <c r="BT873" t="str">
        <f>HYPERLINK("https%3A%2F%2Fwww.webofscience.com%2Fwos%2Fwoscc%2Ffull-record%2FWOS:000249828100009","View Full Record in Web of Science")</f>
        <v>View Full Record in Web of Science</v>
      </c>
    </row>
    <row r="874" spans="1:72" x14ac:dyDescent="0.15">
      <c r="A874" t="s">
        <v>72</v>
      </c>
      <c r="B874" t="s">
        <v>14349</v>
      </c>
      <c r="C874" t="s">
        <v>74</v>
      </c>
      <c r="D874" t="s">
        <v>74</v>
      </c>
      <c r="E874" t="s">
        <v>74</v>
      </c>
      <c r="F874" t="s">
        <v>14350</v>
      </c>
      <c r="G874" t="s">
        <v>74</v>
      </c>
      <c r="H874" t="s">
        <v>74</v>
      </c>
      <c r="I874" t="s">
        <v>14351</v>
      </c>
      <c r="J874" t="s">
        <v>14352</v>
      </c>
      <c r="K874" t="s">
        <v>74</v>
      </c>
      <c r="L874" t="s">
        <v>74</v>
      </c>
      <c r="M874" t="s">
        <v>78</v>
      </c>
      <c r="N874" t="s">
        <v>79</v>
      </c>
      <c r="O874" t="s">
        <v>74</v>
      </c>
      <c r="P874" t="s">
        <v>74</v>
      </c>
      <c r="Q874" t="s">
        <v>74</v>
      </c>
      <c r="R874" t="s">
        <v>74</v>
      </c>
      <c r="S874" t="s">
        <v>74</v>
      </c>
      <c r="T874" t="s">
        <v>14353</v>
      </c>
      <c r="U874" t="s">
        <v>14354</v>
      </c>
      <c r="V874" t="s">
        <v>14355</v>
      </c>
      <c r="W874" t="s">
        <v>14356</v>
      </c>
      <c r="X874" t="s">
        <v>14357</v>
      </c>
      <c r="Y874" t="s">
        <v>14358</v>
      </c>
      <c r="Z874" t="s">
        <v>14359</v>
      </c>
      <c r="AA874" t="s">
        <v>14360</v>
      </c>
      <c r="AB874" t="s">
        <v>14361</v>
      </c>
      <c r="AC874" t="s">
        <v>74</v>
      </c>
      <c r="AD874" t="s">
        <v>74</v>
      </c>
      <c r="AE874" t="s">
        <v>74</v>
      </c>
      <c r="AF874" t="s">
        <v>74</v>
      </c>
      <c r="AG874">
        <v>39</v>
      </c>
      <c r="AH874">
        <v>14</v>
      </c>
      <c r="AI874">
        <v>16</v>
      </c>
      <c r="AJ874">
        <v>0</v>
      </c>
      <c r="AK874">
        <v>17</v>
      </c>
      <c r="AL874" t="s">
        <v>1265</v>
      </c>
      <c r="AM874" t="s">
        <v>662</v>
      </c>
      <c r="AN874" t="s">
        <v>1266</v>
      </c>
      <c r="AO874" t="s">
        <v>14362</v>
      </c>
      <c r="AP874" t="s">
        <v>14363</v>
      </c>
      <c r="AQ874" t="s">
        <v>74</v>
      </c>
      <c r="AR874" t="s">
        <v>14352</v>
      </c>
      <c r="AS874" t="s">
        <v>14364</v>
      </c>
      <c r="AT874" t="s">
        <v>13402</v>
      </c>
      <c r="AU874">
        <v>2007</v>
      </c>
      <c r="AV874">
        <v>126</v>
      </c>
      <c r="AW874">
        <v>3</v>
      </c>
      <c r="AX874" t="s">
        <v>74</v>
      </c>
      <c r="AY874" t="s">
        <v>74</v>
      </c>
      <c r="AZ874" t="s">
        <v>74</v>
      </c>
      <c r="BA874" t="s">
        <v>74</v>
      </c>
      <c r="BB874">
        <v>153</v>
      </c>
      <c r="BC874">
        <v>162</v>
      </c>
      <c r="BD874" t="s">
        <v>74</v>
      </c>
      <c r="BE874" t="s">
        <v>14365</v>
      </c>
      <c r="BF874" t="str">
        <f>HYPERLINK("http://dx.doi.org/10.1007/s00435-007-0034-4","http://dx.doi.org/10.1007/s00435-007-0034-4")</f>
        <v>http://dx.doi.org/10.1007/s00435-007-0034-4</v>
      </c>
      <c r="BG874" t="s">
        <v>74</v>
      </c>
      <c r="BH874" t="s">
        <v>74</v>
      </c>
      <c r="BI874">
        <v>10</v>
      </c>
      <c r="BJ874" t="s">
        <v>14366</v>
      </c>
      <c r="BK874" t="s">
        <v>97</v>
      </c>
      <c r="BL874" t="s">
        <v>14366</v>
      </c>
      <c r="BM874" t="s">
        <v>14367</v>
      </c>
      <c r="BN874" t="s">
        <v>74</v>
      </c>
      <c r="BO874" t="s">
        <v>74</v>
      </c>
      <c r="BP874" t="s">
        <v>74</v>
      </c>
      <c r="BQ874" t="s">
        <v>74</v>
      </c>
      <c r="BR874" t="s">
        <v>100</v>
      </c>
      <c r="BS874" t="s">
        <v>14368</v>
      </c>
      <c r="BT874" t="str">
        <f>HYPERLINK("https%3A%2F%2Fwww.webofscience.com%2Fwos%2Fwoscc%2Ffull-record%2FWOS:000249804200002","View Full Record in Web of Science")</f>
        <v>View Full Record in Web of Science</v>
      </c>
    </row>
    <row r="875" spans="1:72" x14ac:dyDescent="0.15">
      <c r="A875" t="s">
        <v>72</v>
      </c>
      <c r="B875" t="s">
        <v>14369</v>
      </c>
      <c r="C875" t="s">
        <v>74</v>
      </c>
      <c r="D875" t="s">
        <v>74</v>
      </c>
      <c r="E875" t="s">
        <v>74</v>
      </c>
      <c r="F875" t="s">
        <v>14370</v>
      </c>
      <c r="G875" t="s">
        <v>74</v>
      </c>
      <c r="H875" t="s">
        <v>74</v>
      </c>
      <c r="I875" t="s">
        <v>14371</v>
      </c>
      <c r="J875" t="s">
        <v>537</v>
      </c>
      <c r="K875" t="s">
        <v>74</v>
      </c>
      <c r="L875" t="s">
        <v>74</v>
      </c>
      <c r="M875" t="s">
        <v>78</v>
      </c>
      <c r="N875" t="s">
        <v>79</v>
      </c>
      <c r="O875" t="s">
        <v>74</v>
      </c>
      <c r="P875" t="s">
        <v>74</v>
      </c>
      <c r="Q875" t="s">
        <v>74</v>
      </c>
      <c r="R875" t="s">
        <v>74</v>
      </c>
      <c r="S875" t="s">
        <v>74</v>
      </c>
      <c r="T875" t="s">
        <v>14372</v>
      </c>
      <c r="U875" t="s">
        <v>14373</v>
      </c>
      <c r="V875" t="s">
        <v>14374</v>
      </c>
      <c r="W875" t="s">
        <v>14375</v>
      </c>
      <c r="X875" t="s">
        <v>14376</v>
      </c>
      <c r="Y875" t="s">
        <v>14377</v>
      </c>
      <c r="Z875" t="s">
        <v>14378</v>
      </c>
      <c r="AA875" t="s">
        <v>14379</v>
      </c>
      <c r="AB875" t="s">
        <v>14380</v>
      </c>
      <c r="AC875" t="s">
        <v>74</v>
      </c>
      <c r="AD875" t="s">
        <v>74</v>
      </c>
      <c r="AE875" t="s">
        <v>74</v>
      </c>
      <c r="AF875" t="s">
        <v>74</v>
      </c>
      <c r="AG875">
        <v>51</v>
      </c>
      <c r="AH875">
        <v>58</v>
      </c>
      <c r="AI875">
        <v>65</v>
      </c>
      <c r="AJ875">
        <v>1</v>
      </c>
      <c r="AK875">
        <v>21</v>
      </c>
      <c r="AL875" t="s">
        <v>506</v>
      </c>
      <c r="AM875" t="s">
        <v>266</v>
      </c>
      <c r="AN875" t="s">
        <v>507</v>
      </c>
      <c r="AO875" t="s">
        <v>547</v>
      </c>
      <c r="AP875" t="s">
        <v>74</v>
      </c>
      <c r="AQ875" t="s">
        <v>74</v>
      </c>
      <c r="AR875" t="s">
        <v>549</v>
      </c>
      <c r="AS875" t="s">
        <v>550</v>
      </c>
      <c r="AT875" t="s">
        <v>14381</v>
      </c>
      <c r="AU875">
        <v>2007</v>
      </c>
      <c r="AV875">
        <v>261</v>
      </c>
      <c r="AW875" t="s">
        <v>489</v>
      </c>
      <c r="AX875" t="s">
        <v>74</v>
      </c>
      <c r="AY875" t="s">
        <v>74</v>
      </c>
      <c r="AZ875" t="s">
        <v>74</v>
      </c>
      <c r="BA875" t="s">
        <v>74</v>
      </c>
      <c r="BB875">
        <v>337</v>
      </c>
      <c r="BC875">
        <v>349</v>
      </c>
      <c r="BD875" t="s">
        <v>74</v>
      </c>
      <c r="BE875" t="s">
        <v>14382</v>
      </c>
      <c r="BF875" t="str">
        <f>HYPERLINK("http://dx.doi.org/10.1016/j.epsl.2007.06.025","http://dx.doi.org/10.1016/j.epsl.2007.06.025")</f>
        <v>http://dx.doi.org/10.1016/j.epsl.2007.06.025</v>
      </c>
      <c r="BG875" t="s">
        <v>74</v>
      </c>
      <c r="BH875" t="s">
        <v>74</v>
      </c>
      <c r="BI875">
        <v>13</v>
      </c>
      <c r="BJ875" t="s">
        <v>553</v>
      </c>
      <c r="BK875" t="s">
        <v>97</v>
      </c>
      <c r="BL875" t="s">
        <v>553</v>
      </c>
      <c r="BM875" t="s">
        <v>14383</v>
      </c>
      <c r="BN875" t="s">
        <v>74</v>
      </c>
      <c r="BO875" t="s">
        <v>74</v>
      </c>
      <c r="BP875" t="s">
        <v>74</v>
      </c>
      <c r="BQ875" t="s">
        <v>74</v>
      </c>
      <c r="BR875" t="s">
        <v>100</v>
      </c>
      <c r="BS875" t="s">
        <v>14384</v>
      </c>
      <c r="BT875" t="str">
        <f>HYPERLINK("https%3A%2F%2Fwww.webofscience.com%2Fwos%2Fwoscc%2Ffull-record%2FWOS:000250189400001","View Full Record in Web of Science")</f>
        <v>View Full Record in Web of Science</v>
      </c>
    </row>
    <row r="876" spans="1:72" x14ac:dyDescent="0.15">
      <c r="A876" t="s">
        <v>72</v>
      </c>
      <c r="B876" t="s">
        <v>14385</v>
      </c>
      <c r="C876" t="s">
        <v>74</v>
      </c>
      <c r="D876" t="s">
        <v>74</v>
      </c>
      <c r="E876" t="s">
        <v>74</v>
      </c>
      <c r="F876" t="s">
        <v>14386</v>
      </c>
      <c r="G876" t="s">
        <v>74</v>
      </c>
      <c r="H876" t="s">
        <v>74</v>
      </c>
      <c r="I876" t="s">
        <v>14387</v>
      </c>
      <c r="J876" t="s">
        <v>537</v>
      </c>
      <c r="K876" t="s">
        <v>74</v>
      </c>
      <c r="L876" t="s">
        <v>74</v>
      </c>
      <c r="M876" t="s">
        <v>78</v>
      </c>
      <c r="N876" t="s">
        <v>79</v>
      </c>
      <c r="O876" t="s">
        <v>74</v>
      </c>
      <c r="P876" t="s">
        <v>74</v>
      </c>
      <c r="Q876" t="s">
        <v>74</v>
      </c>
      <c r="R876" t="s">
        <v>74</v>
      </c>
      <c r="S876" t="s">
        <v>74</v>
      </c>
      <c r="T876" t="s">
        <v>14388</v>
      </c>
      <c r="U876" t="s">
        <v>14389</v>
      </c>
      <c r="V876" t="s">
        <v>14390</v>
      </c>
      <c r="W876" t="s">
        <v>14391</v>
      </c>
      <c r="X876" t="s">
        <v>14392</v>
      </c>
      <c r="Y876" t="s">
        <v>14393</v>
      </c>
      <c r="Z876" t="s">
        <v>14394</v>
      </c>
      <c r="AA876" t="s">
        <v>14395</v>
      </c>
      <c r="AB876" t="s">
        <v>14396</v>
      </c>
      <c r="AC876" t="s">
        <v>74</v>
      </c>
      <c r="AD876" t="s">
        <v>74</v>
      </c>
      <c r="AE876" t="s">
        <v>74</v>
      </c>
      <c r="AF876" t="s">
        <v>74</v>
      </c>
      <c r="AG876">
        <v>50</v>
      </c>
      <c r="AH876">
        <v>257</v>
      </c>
      <c r="AI876">
        <v>292</v>
      </c>
      <c r="AJ876">
        <v>2</v>
      </c>
      <c r="AK876">
        <v>101</v>
      </c>
      <c r="AL876" t="s">
        <v>265</v>
      </c>
      <c r="AM876" t="s">
        <v>266</v>
      </c>
      <c r="AN876" t="s">
        <v>267</v>
      </c>
      <c r="AO876" t="s">
        <v>547</v>
      </c>
      <c r="AP876" t="s">
        <v>548</v>
      </c>
      <c r="AQ876" t="s">
        <v>74</v>
      </c>
      <c r="AR876" t="s">
        <v>549</v>
      </c>
      <c r="AS876" t="s">
        <v>550</v>
      </c>
      <c r="AT876" t="s">
        <v>14381</v>
      </c>
      <c r="AU876">
        <v>2007</v>
      </c>
      <c r="AV876">
        <v>261</v>
      </c>
      <c r="AW876" t="s">
        <v>489</v>
      </c>
      <c r="AX876" t="s">
        <v>74</v>
      </c>
      <c r="AY876" t="s">
        <v>74</v>
      </c>
      <c r="AZ876" t="s">
        <v>74</v>
      </c>
      <c r="BA876" t="s">
        <v>74</v>
      </c>
      <c r="BB876">
        <v>534</v>
      </c>
      <c r="BC876">
        <v>550</v>
      </c>
      <c r="BD876" t="s">
        <v>74</v>
      </c>
      <c r="BE876" t="s">
        <v>14397</v>
      </c>
      <c r="BF876" t="str">
        <f>HYPERLINK("http://dx.doi.org/10.1016/j.epsl.2007.07.026","http://dx.doi.org/10.1016/j.epsl.2007.07.026")</f>
        <v>http://dx.doi.org/10.1016/j.epsl.2007.07.026</v>
      </c>
      <c r="BG876" t="s">
        <v>74</v>
      </c>
      <c r="BH876" t="s">
        <v>74</v>
      </c>
      <c r="BI876">
        <v>17</v>
      </c>
      <c r="BJ876" t="s">
        <v>553</v>
      </c>
      <c r="BK876" t="s">
        <v>97</v>
      </c>
      <c r="BL876" t="s">
        <v>553</v>
      </c>
      <c r="BM876" t="s">
        <v>14383</v>
      </c>
      <c r="BN876" t="s">
        <v>74</v>
      </c>
      <c r="BO876" t="s">
        <v>74</v>
      </c>
      <c r="BP876" t="s">
        <v>74</v>
      </c>
      <c r="BQ876" t="s">
        <v>74</v>
      </c>
      <c r="BR876" t="s">
        <v>100</v>
      </c>
      <c r="BS876" t="s">
        <v>14398</v>
      </c>
      <c r="BT876" t="str">
        <f>HYPERLINK("https%3A%2F%2Fwww.webofscience.com%2Fwos%2Fwoscc%2Ffull-record%2FWOS:000250189400016","View Full Record in Web of Science")</f>
        <v>View Full Record in Web of Science</v>
      </c>
    </row>
    <row r="877" spans="1:72" x14ac:dyDescent="0.15">
      <c r="A877" t="s">
        <v>72</v>
      </c>
      <c r="B877" t="s">
        <v>14399</v>
      </c>
      <c r="C877" t="s">
        <v>74</v>
      </c>
      <c r="D877" t="s">
        <v>74</v>
      </c>
      <c r="E877" t="s">
        <v>74</v>
      </c>
      <c r="F877" t="s">
        <v>14400</v>
      </c>
      <c r="G877" t="s">
        <v>74</v>
      </c>
      <c r="H877" t="s">
        <v>74</v>
      </c>
      <c r="I877" t="s">
        <v>14401</v>
      </c>
      <c r="J877" t="s">
        <v>773</v>
      </c>
      <c r="K877" t="s">
        <v>74</v>
      </c>
      <c r="L877" t="s">
        <v>74</v>
      </c>
      <c r="M877" t="s">
        <v>78</v>
      </c>
      <c r="N877" t="s">
        <v>79</v>
      </c>
      <c r="O877" t="s">
        <v>74</v>
      </c>
      <c r="P877" t="s">
        <v>74</v>
      </c>
      <c r="Q877" t="s">
        <v>74</v>
      </c>
      <c r="R877" t="s">
        <v>74</v>
      </c>
      <c r="S877" t="s">
        <v>74</v>
      </c>
      <c r="T877" t="s">
        <v>14402</v>
      </c>
      <c r="U877" t="s">
        <v>14403</v>
      </c>
      <c r="V877" t="s">
        <v>14404</v>
      </c>
      <c r="W877" t="s">
        <v>14405</v>
      </c>
      <c r="X877" t="s">
        <v>14406</v>
      </c>
      <c r="Y877" t="s">
        <v>14407</v>
      </c>
      <c r="Z877" t="s">
        <v>14408</v>
      </c>
      <c r="AA877" t="s">
        <v>74</v>
      </c>
      <c r="AB877" t="s">
        <v>14409</v>
      </c>
      <c r="AC877" t="s">
        <v>6468</v>
      </c>
      <c r="AD877" t="s">
        <v>242</v>
      </c>
      <c r="AE877" t="s">
        <v>74</v>
      </c>
      <c r="AF877" t="s">
        <v>74</v>
      </c>
      <c r="AG877">
        <v>33</v>
      </c>
      <c r="AH877">
        <v>11</v>
      </c>
      <c r="AI877">
        <v>12</v>
      </c>
      <c r="AJ877">
        <v>0</v>
      </c>
      <c r="AK877">
        <v>34</v>
      </c>
      <c r="AL877" t="s">
        <v>506</v>
      </c>
      <c r="AM877" t="s">
        <v>266</v>
      </c>
      <c r="AN877" t="s">
        <v>507</v>
      </c>
      <c r="AO877" t="s">
        <v>783</v>
      </c>
      <c r="AP877" t="s">
        <v>74</v>
      </c>
      <c r="AQ877" t="s">
        <v>74</v>
      </c>
      <c r="AR877" t="s">
        <v>785</v>
      </c>
      <c r="AS877" t="s">
        <v>786</v>
      </c>
      <c r="AT877" t="s">
        <v>14410</v>
      </c>
      <c r="AU877">
        <v>2007</v>
      </c>
      <c r="AV877">
        <v>349</v>
      </c>
      <c r="AW877">
        <v>1</v>
      </c>
      <c r="AX877" t="s">
        <v>74</v>
      </c>
      <c r="AY877" t="s">
        <v>74</v>
      </c>
      <c r="AZ877" t="s">
        <v>74</v>
      </c>
      <c r="BA877" t="s">
        <v>74</v>
      </c>
      <c r="BB877">
        <v>142</v>
      </c>
      <c r="BC877">
        <v>151</v>
      </c>
      <c r="BD877" t="s">
        <v>74</v>
      </c>
      <c r="BE877" t="s">
        <v>14411</v>
      </c>
      <c r="BF877" t="str">
        <f>HYPERLINK("http://dx.doi.org/10.1016/j.jembe.2007.05.009","http://dx.doi.org/10.1016/j.jembe.2007.05.009")</f>
        <v>http://dx.doi.org/10.1016/j.jembe.2007.05.009</v>
      </c>
      <c r="BG877" t="s">
        <v>74</v>
      </c>
      <c r="BH877" t="s">
        <v>74</v>
      </c>
      <c r="BI877">
        <v>10</v>
      </c>
      <c r="BJ877" t="s">
        <v>789</v>
      </c>
      <c r="BK877" t="s">
        <v>97</v>
      </c>
      <c r="BL877" t="s">
        <v>790</v>
      </c>
      <c r="BM877" t="s">
        <v>14412</v>
      </c>
      <c r="BN877" t="s">
        <v>74</v>
      </c>
      <c r="BO877" t="s">
        <v>74</v>
      </c>
      <c r="BP877" t="s">
        <v>74</v>
      </c>
      <c r="BQ877" t="s">
        <v>74</v>
      </c>
      <c r="BR877" t="s">
        <v>100</v>
      </c>
      <c r="BS877" t="s">
        <v>14413</v>
      </c>
      <c r="BT877" t="str">
        <f>HYPERLINK("https%3A%2F%2Fwww.webofscience.com%2Fwos%2Fwoscc%2Ffull-record%2FWOS:000249264600013","View Full Record in Web of Science")</f>
        <v>View Full Record in Web of Science</v>
      </c>
    </row>
    <row r="878" spans="1:72" x14ac:dyDescent="0.15">
      <c r="A878" t="s">
        <v>72</v>
      </c>
      <c r="B878" t="s">
        <v>14414</v>
      </c>
      <c r="C878" t="s">
        <v>74</v>
      </c>
      <c r="D878" t="s">
        <v>74</v>
      </c>
      <c r="E878" t="s">
        <v>74</v>
      </c>
      <c r="F878" t="s">
        <v>14415</v>
      </c>
      <c r="G878" t="s">
        <v>74</v>
      </c>
      <c r="H878" t="s">
        <v>14416</v>
      </c>
      <c r="I878" t="s">
        <v>14417</v>
      </c>
      <c r="J878" t="s">
        <v>14418</v>
      </c>
      <c r="K878" t="s">
        <v>74</v>
      </c>
      <c r="L878" t="s">
        <v>74</v>
      </c>
      <c r="M878" t="s">
        <v>78</v>
      </c>
      <c r="N878" t="s">
        <v>1602</v>
      </c>
      <c r="O878" t="s">
        <v>14419</v>
      </c>
      <c r="P878" t="s">
        <v>14420</v>
      </c>
      <c r="Q878" t="s">
        <v>14421</v>
      </c>
      <c r="R878" t="s">
        <v>74</v>
      </c>
      <c r="S878" t="s">
        <v>14422</v>
      </c>
      <c r="T878" t="s">
        <v>14423</v>
      </c>
      <c r="U878" t="s">
        <v>14424</v>
      </c>
      <c r="V878" t="s">
        <v>14425</v>
      </c>
      <c r="W878" t="s">
        <v>14426</v>
      </c>
      <c r="X878" t="s">
        <v>2459</v>
      </c>
      <c r="Y878" t="s">
        <v>14427</v>
      </c>
      <c r="Z878" t="s">
        <v>14428</v>
      </c>
      <c r="AA878" t="s">
        <v>14429</v>
      </c>
      <c r="AB878" t="s">
        <v>14430</v>
      </c>
      <c r="AC878" t="s">
        <v>74</v>
      </c>
      <c r="AD878" t="s">
        <v>74</v>
      </c>
      <c r="AE878" t="s">
        <v>74</v>
      </c>
      <c r="AF878" t="s">
        <v>74</v>
      </c>
      <c r="AG878">
        <v>24</v>
      </c>
      <c r="AH878">
        <v>4</v>
      </c>
      <c r="AI878">
        <v>5</v>
      </c>
      <c r="AJ878">
        <v>0</v>
      </c>
      <c r="AK878">
        <v>2</v>
      </c>
      <c r="AL878" t="s">
        <v>5069</v>
      </c>
      <c r="AM878" t="s">
        <v>5070</v>
      </c>
      <c r="AN878" t="s">
        <v>13751</v>
      </c>
      <c r="AO878" t="s">
        <v>14431</v>
      </c>
      <c r="AP878" t="s">
        <v>14432</v>
      </c>
      <c r="AQ878" t="s">
        <v>74</v>
      </c>
      <c r="AR878" t="s">
        <v>14433</v>
      </c>
      <c r="AS878" t="s">
        <v>14434</v>
      </c>
      <c r="AT878" t="s">
        <v>14410</v>
      </c>
      <c r="AU878">
        <v>2007</v>
      </c>
      <c r="AV878">
        <v>22</v>
      </c>
      <c r="AW878">
        <v>30</v>
      </c>
      <c r="AX878" t="s">
        <v>74</v>
      </c>
      <c r="AY878" t="s">
        <v>74</v>
      </c>
      <c r="AZ878" t="s">
        <v>74</v>
      </c>
      <c r="BA878" t="s">
        <v>74</v>
      </c>
      <c r="BB878">
        <v>2237</v>
      </c>
      <c r="BC878">
        <v>2246</v>
      </c>
      <c r="BD878" t="s">
        <v>74</v>
      </c>
      <c r="BE878" t="s">
        <v>14435</v>
      </c>
      <c r="BF878" t="str">
        <f>HYPERLINK("http://dx.doi.org/10.1142/S0217732307024279","http://dx.doi.org/10.1142/S0217732307024279")</f>
        <v>http://dx.doi.org/10.1142/S0217732307024279</v>
      </c>
      <c r="BG878" t="s">
        <v>74</v>
      </c>
      <c r="BH878" t="s">
        <v>74</v>
      </c>
      <c r="BI878">
        <v>10</v>
      </c>
      <c r="BJ878" t="s">
        <v>14436</v>
      </c>
      <c r="BK878" t="s">
        <v>1616</v>
      </c>
      <c r="BL878" t="s">
        <v>8537</v>
      </c>
      <c r="BM878" t="s">
        <v>14437</v>
      </c>
      <c r="BN878" t="s">
        <v>74</v>
      </c>
      <c r="BO878" t="s">
        <v>74</v>
      </c>
      <c r="BP878" t="s">
        <v>74</v>
      </c>
      <c r="BQ878" t="s">
        <v>74</v>
      </c>
      <c r="BR878" t="s">
        <v>100</v>
      </c>
      <c r="BS878" t="s">
        <v>14438</v>
      </c>
      <c r="BT878" t="str">
        <f>HYPERLINK("https%3A%2F%2Fwww.webofscience.com%2Fwos%2Fwoscc%2Ffull-record%2FWOS:000251798900001","View Full Record in Web of Science")</f>
        <v>View Full Record in Web of Science</v>
      </c>
    </row>
    <row r="879" spans="1:72" x14ac:dyDescent="0.15">
      <c r="A879" t="s">
        <v>72</v>
      </c>
      <c r="B879" t="s">
        <v>14439</v>
      </c>
      <c r="C879" t="s">
        <v>74</v>
      </c>
      <c r="D879" t="s">
        <v>74</v>
      </c>
      <c r="E879" t="s">
        <v>74</v>
      </c>
      <c r="F879" t="s">
        <v>14440</v>
      </c>
      <c r="G879" t="s">
        <v>74</v>
      </c>
      <c r="H879" t="s">
        <v>74</v>
      </c>
      <c r="I879" t="s">
        <v>14441</v>
      </c>
      <c r="J879" t="s">
        <v>691</v>
      </c>
      <c r="K879" t="s">
        <v>74</v>
      </c>
      <c r="L879" t="s">
        <v>74</v>
      </c>
      <c r="M879" t="s">
        <v>78</v>
      </c>
      <c r="N879" t="s">
        <v>438</v>
      </c>
      <c r="O879" t="s">
        <v>74</v>
      </c>
      <c r="P879" t="s">
        <v>74</v>
      </c>
      <c r="Q879" t="s">
        <v>74</v>
      </c>
      <c r="R879" t="s">
        <v>74</v>
      </c>
      <c r="S879" t="s">
        <v>74</v>
      </c>
      <c r="T879" t="s">
        <v>74</v>
      </c>
      <c r="U879" t="s">
        <v>14442</v>
      </c>
      <c r="V879" t="s">
        <v>74</v>
      </c>
      <c r="W879" t="s">
        <v>14443</v>
      </c>
      <c r="X879" t="s">
        <v>14444</v>
      </c>
      <c r="Y879" t="s">
        <v>14445</v>
      </c>
      <c r="Z879" t="s">
        <v>14446</v>
      </c>
      <c r="AA879" t="s">
        <v>5741</v>
      </c>
      <c r="AB879" t="s">
        <v>5742</v>
      </c>
      <c r="AC879" t="s">
        <v>4792</v>
      </c>
      <c r="AD879" t="s">
        <v>444</v>
      </c>
      <c r="AE879" t="s">
        <v>74</v>
      </c>
      <c r="AF879" t="s">
        <v>74</v>
      </c>
      <c r="AG879">
        <v>18</v>
      </c>
      <c r="AH879">
        <v>144</v>
      </c>
      <c r="AI879">
        <v>152</v>
      </c>
      <c r="AJ879">
        <v>3</v>
      </c>
      <c r="AK879">
        <v>33</v>
      </c>
      <c r="AL879" t="s">
        <v>694</v>
      </c>
      <c r="AM879" t="s">
        <v>194</v>
      </c>
      <c r="AN879" t="s">
        <v>695</v>
      </c>
      <c r="AO879" t="s">
        <v>696</v>
      </c>
      <c r="AP879" t="s">
        <v>74</v>
      </c>
      <c r="AQ879" t="s">
        <v>74</v>
      </c>
      <c r="AR879" t="s">
        <v>691</v>
      </c>
      <c r="AS879" t="s">
        <v>697</v>
      </c>
      <c r="AT879" t="s">
        <v>14410</v>
      </c>
      <c r="AU879">
        <v>2007</v>
      </c>
      <c r="AV879">
        <v>317</v>
      </c>
      <c r="AW879">
        <v>5846</v>
      </c>
      <c r="AX879" t="s">
        <v>74</v>
      </c>
      <c r="AY879" t="s">
        <v>74</v>
      </c>
      <c r="AZ879" t="s">
        <v>74</v>
      </c>
      <c r="BA879" t="s">
        <v>74</v>
      </c>
      <c r="BB879">
        <v>1877</v>
      </c>
      <c r="BC879">
        <v>1878</v>
      </c>
      <c r="BD879" t="s">
        <v>74</v>
      </c>
      <c r="BE879" t="s">
        <v>14447</v>
      </c>
      <c r="BF879" t="str">
        <f>HYPERLINK("http://dx.doi.org/10.1126/science.1147261","http://dx.doi.org/10.1126/science.1147261")</f>
        <v>http://dx.doi.org/10.1126/science.1147261</v>
      </c>
      <c r="BG879" t="s">
        <v>74</v>
      </c>
      <c r="BH879" t="s">
        <v>74</v>
      </c>
      <c r="BI879">
        <v>2</v>
      </c>
      <c r="BJ879" t="s">
        <v>684</v>
      </c>
      <c r="BK879" t="s">
        <v>97</v>
      </c>
      <c r="BL879" t="s">
        <v>685</v>
      </c>
      <c r="BM879" t="s">
        <v>14448</v>
      </c>
      <c r="BN879">
        <v>17901323</v>
      </c>
      <c r="BO879" t="s">
        <v>74</v>
      </c>
      <c r="BP879" t="s">
        <v>74</v>
      </c>
      <c r="BQ879" t="s">
        <v>74</v>
      </c>
      <c r="BR879" t="s">
        <v>100</v>
      </c>
      <c r="BS879" t="s">
        <v>14449</v>
      </c>
      <c r="BT879" t="str">
        <f>HYPERLINK("https%3A%2F%2Fwww.webofscience.com%2Fwos%2Fwoscc%2Ffull-record%2FWOS:000249764300027","View Full Record in Web of Science")</f>
        <v>View Full Record in Web of Science</v>
      </c>
    </row>
    <row r="880" spans="1:72" x14ac:dyDescent="0.15">
      <c r="A880" t="s">
        <v>72</v>
      </c>
      <c r="B880" t="s">
        <v>14450</v>
      </c>
      <c r="C880" t="s">
        <v>74</v>
      </c>
      <c r="D880" t="s">
        <v>74</v>
      </c>
      <c r="E880" t="s">
        <v>74</v>
      </c>
      <c r="F880" t="s">
        <v>14451</v>
      </c>
      <c r="G880" t="s">
        <v>74</v>
      </c>
      <c r="H880" t="s">
        <v>74</v>
      </c>
      <c r="I880" t="s">
        <v>14452</v>
      </c>
      <c r="J880" t="s">
        <v>11486</v>
      </c>
      <c r="K880" t="s">
        <v>74</v>
      </c>
      <c r="L880" t="s">
        <v>74</v>
      </c>
      <c r="M880" t="s">
        <v>78</v>
      </c>
      <c r="N880" t="s">
        <v>106</v>
      </c>
      <c r="O880" t="s">
        <v>74</v>
      </c>
      <c r="P880" t="s">
        <v>74</v>
      </c>
      <c r="Q880" t="s">
        <v>74</v>
      </c>
      <c r="R880" t="s">
        <v>74</v>
      </c>
      <c r="S880" t="s">
        <v>74</v>
      </c>
      <c r="T880" t="s">
        <v>14453</v>
      </c>
      <c r="U880" t="s">
        <v>14454</v>
      </c>
      <c r="V880" t="s">
        <v>14455</v>
      </c>
      <c r="W880" t="s">
        <v>14456</v>
      </c>
      <c r="X880" t="s">
        <v>13283</v>
      </c>
      <c r="Y880" t="s">
        <v>14457</v>
      </c>
      <c r="Z880" t="s">
        <v>13285</v>
      </c>
      <c r="AA880" t="s">
        <v>13286</v>
      </c>
      <c r="AB880" t="s">
        <v>14458</v>
      </c>
      <c r="AC880" t="s">
        <v>74</v>
      </c>
      <c r="AD880" t="s">
        <v>74</v>
      </c>
      <c r="AE880" t="s">
        <v>74</v>
      </c>
      <c r="AF880" t="s">
        <v>74</v>
      </c>
      <c r="AG880">
        <v>106</v>
      </c>
      <c r="AH880">
        <v>27</v>
      </c>
      <c r="AI880">
        <v>29</v>
      </c>
      <c r="AJ880">
        <v>0</v>
      </c>
      <c r="AK880">
        <v>2</v>
      </c>
      <c r="AL880" t="s">
        <v>6777</v>
      </c>
      <c r="AM880" t="s">
        <v>6778</v>
      </c>
      <c r="AN880" t="s">
        <v>11492</v>
      </c>
      <c r="AO880" t="s">
        <v>11493</v>
      </c>
      <c r="AP880" t="s">
        <v>11494</v>
      </c>
      <c r="AQ880" t="s">
        <v>74</v>
      </c>
      <c r="AR880" t="s">
        <v>11486</v>
      </c>
      <c r="AS880" t="s">
        <v>11495</v>
      </c>
      <c r="AT880" t="s">
        <v>14410</v>
      </c>
      <c r="AU880">
        <v>2007</v>
      </c>
      <c r="AV880" t="s">
        <v>74</v>
      </c>
      <c r="AW880">
        <v>1598</v>
      </c>
      <c r="AX880" t="s">
        <v>74</v>
      </c>
      <c r="AY880" t="s">
        <v>74</v>
      </c>
      <c r="AZ880" t="s">
        <v>74</v>
      </c>
      <c r="BA880" t="s">
        <v>74</v>
      </c>
      <c r="BB880">
        <v>1</v>
      </c>
      <c r="BC880">
        <v>141</v>
      </c>
      <c r="BD880" t="s">
        <v>74</v>
      </c>
      <c r="BE880" t="s">
        <v>74</v>
      </c>
      <c r="BF880" t="s">
        <v>74</v>
      </c>
      <c r="BG880" t="s">
        <v>74</v>
      </c>
      <c r="BH880" t="s">
        <v>74</v>
      </c>
      <c r="BI880">
        <v>141</v>
      </c>
      <c r="BJ880" t="s">
        <v>4825</v>
      </c>
      <c r="BK880" t="s">
        <v>97</v>
      </c>
      <c r="BL880" t="s">
        <v>4825</v>
      </c>
      <c r="BM880" t="s">
        <v>14459</v>
      </c>
      <c r="BN880" t="s">
        <v>74</v>
      </c>
      <c r="BO880" t="s">
        <v>74</v>
      </c>
      <c r="BP880" t="s">
        <v>74</v>
      </c>
      <c r="BQ880" t="s">
        <v>74</v>
      </c>
      <c r="BR880" t="s">
        <v>100</v>
      </c>
      <c r="BS880" t="s">
        <v>14460</v>
      </c>
      <c r="BT880" t="str">
        <f>HYPERLINK("https%3A%2F%2Fwww.webofscience.com%2Fwos%2Fwoscc%2Ffull-record%2FWOS:000249776000001","View Full Record in Web of Science")</f>
        <v>View Full Record in Web of Science</v>
      </c>
    </row>
    <row r="881" spans="1:72" x14ac:dyDescent="0.15">
      <c r="A881" t="s">
        <v>72</v>
      </c>
      <c r="B881" t="s">
        <v>14461</v>
      </c>
      <c r="C881" t="s">
        <v>74</v>
      </c>
      <c r="D881" t="s">
        <v>74</v>
      </c>
      <c r="E881" t="s">
        <v>74</v>
      </c>
      <c r="F881" t="s">
        <v>14462</v>
      </c>
      <c r="G881" t="s">
        <v>74</v>
      </c>
      <c r="H881" t="s">
        <v>74</v>
      </c>
      <c r="I881" t="s">
        <v>14463</v>
      </c>
      <c r="J881" t="s">
        <v>12902</v>
      </c>
      <c r="K881" t="s">
        <v>74</v>
      </c>
      <c r="L881" t="s">
        <v>74</v>
      </c>
      <c r="M881" t="s">
        <v>78</v>
      </c>
      <c r="N881" t="s">
        <v>79</v>
      </c>
      <c r="O881" t="s">
        <v>74</v>
      </c>
      <c r="P881" t="s">
        <v>74</v>
      </c>
      <c r="Q881" t="s">
        <v>74</v>
      </c>
      <c r="R881" t="s">
        <v>74</v>
      </c>
      <c r="S881" t="s">
        <v>74</v>
      </c>
      <c r="T881" t="s">
        <v>74</v>
      </c>
      <c r="U881" t="s">
        <v>14464</v>
      </c>
      <c r="V881" t="s">
        <v>14465</v>
      </c>
      <c r="W881" t="s">
        <v>14466</v>
      </c>
      <c r="X881" t="s">
        <v>14467</v>
      </c>
      <c r="Y881" t="s">
        <v>14468</v>
      </c>
      <c r="Z881" t="s">
        <v>14469</v>
      </c>
      <c r="AA881" t="s">
        <v>14470</v>
      </c>
      <c r="AB881" t="s">
        <v>14471</v>
      </c>
      <c r="AC881" t="s">
        <v>74</v>
      </c>
      <c r="AD881" t="s">
        <v>74</v>
      </c>
      <c r="AE881" t="s">
        <v>74</v>
      </c>
      <c r="AF881" t="s">
        <v>74</v>
      </c>
      <c r="AG881">
        <v>35</v>
      </c>
      <c r="AH881">
        <v>304</v>
      </c>
      <c r="AI881">
        <v>364</v>
      </c>
      <c r="AJ881">
        <v>7</v>
      </c>
      <c r="AK881">
        <v>161</v>
      </c>
      <c r="AL881" t="s">
        <v>13369</v>
      </c>
      <c r="AM881" t="s">
        <v>118</v>
      </c>
      <c r="AN881" t="s">
        <v>13370</v>
      </c>
      <c r="AO881" t="s">
        <v>12914</v>
      </c>
      <c r="AP881" t="s">
        <v>12915</v>
      </c>
      <c r="AQ881" t="s">
        <v>74</v>
      </c>
      <c r="AR881" t="s">
        <v>12902</v>
      </c>
      <c r="AS881" t="s">
        <v>12916</v>
      </c>
      <c r="AT881" t="s">
        <v>14472</v>
      </c>
      <c r="AU881">
        <v>2007</v>
      </c>
      <c r="AV881">
        <v>449</v>
      </c>
      <c r="AW881">
        <v>7161</v>
      </c>
      <c r="AX881" t="s">
        <v>74</v>
      </c>
      <c r="AY881" t="s">
        <v>74</v>
      </c>
      <c r="AZ881" t="s">
        <v>74</v>
      </c>
      <c r="BA881" t="s">
        <v>74</v>
      </c>
      <c r="BB881">
        <v>452</v>
      </c>
      <c r="BC881" t="s">
        <v>14473</v>
      </c>
      <c r="BD881" t="s">
        <v>74</v>
      </c>
      <c r="BE881" t="s">
        <v>14474</v>
      </c>
      <c r="BF881" t="str">
        <f>HYPERLINK("http://dx.doi.org/10.1038/nature06164","http://dx.doi.org/10.1038/nature06164")</f>
        <v>http://dx.doi.org/10.1038/nature06164</v>
      </c>
      <c r="BG881" t="s">
        <v>74</v>
      </c>
      <c r="BH881" t="s">
        <v>74</v>
      </c>
      <c r="BI881">
        <v>5</v>
      </c>
      <c r="BJ881" t="s">
        <v>684</v>
      </c>
      <c r="BK881" t="s">
        <v>97</v>
      </c>
      <c r="BL881" t="s">
        <v>685</v>
      </c>
      <c r="BM881" t="s">
        <v>14475</v>
      </c>
      <c r="BN881">
        <v>17898765</v>
      </c>
      <c r="BO881" t="s">
        <v>74</v>
      </c>
      <c r="BP881" t="s">
        <v>74</v>
      </c>
      <c r="BQ881" t="s">
        <v>74</v>
      </c>
      <c r="BR881" t="s">
        <v>100</v>
      </c>
      <c r="BS881" t="s">
        <v>14476</v>
      </c>
      <c r="BT881" t="str">
        <f>HYPERLINK("https%3A%2F%2Fwww.webofscience.com%2Fwos%2Fwoscc%2Ffull-record%2FWOS:000249724800038","View Full Record in Web of Science")</f>
        <v>View Full Record in Web of Science</v>
      </c>
    </row>
    <row r="882" spans="1:72" x14ac:dyDescent="0.15">
      <c r="A882" t="s">
        <v>72</v>
      </c>
      <c r="B882" t="s">
        <v>14477</v>
      </c>
      <c r="C882" t="s">
        <v>74</v>
      </c>
      <c r="D882" t="s">
        <v>74</v>
      </c>
      <c r="E882" t="s">
        <v>74</v>
      </c>
      <c r="F882" t="s">
        <v>14478</v>
      </c>
      <c r="G882" t="s">
        <v>74</v>
      </c>
      <c r="H882" t="s">
        <v>74</v>
      </c>
      <c r="I882" t="s">
        <v>9139</v>
      </c>
      <c r="J882" t="s">
        <v>14479</v>
      </c>
      <c r="K882" t="s">
        <v>74</v>
      </c>
      <c r="L882" t="s">
        <v>74</v>
      </c>
      <c r="M882" t="s">
        <v>78</v>
      </c>
      <c r="N882" t="s">
        <v>2552</v>
      </c>
      <c r="O882" t="s">
        <v>74</v>
      </c>
      <c r="P882" t="s">
        <v>74</v>
      </c>
      <c r="Q882" t="s">
        <v>74</v>
      </c>
      <c r="R882" t="s">
        <v>74</v>
      </c>
      <c r="S882" t="s">
        <v>74</v>
      </c>
      <c r="T882" t="s">
        <v>74</v>
      </c>
      <c r="U882" t="s">
        <v>74</v>
      </c>
      <c r="V882" t="s">
        <v>74</v>
      </c>
      <c r="W882" t="s">
        <v>74</v>
      </c>
      <c r="X882" t="s">
        <v>74</v>
      </c>
      <c r="Y882" t="s">
        <v>74</v>
      </c>
      <c r="Z882" t="s">
        <v>74</v>
      </c>
      <c r="AA882" t="s">
        <v>74</v>
      </c>
      <c r="AB882" t="s">
        <v>74</v>
      </c>
      <c r="AC882" t="s">
        <v>74</v>
      </c>
      <c r="AD882" t="s">
        <v>74</v>
      </c>
      <c r="AE882" t="s">
        <v>74</v>
      </c>
      <c r="AF882" t="s">
        <v>74</v>
      </c>
      <c r="AG882">
        <v>1</v>
      </c>
      <c r="AH882">
        <v>0</v>
      </c>
      <c r="AI882">
        <v>0</v>
      </c>
      <c r="AJ882">
        <v>0</v>
      </c>
      <c r="AK882">
        <v>0</v>
      </c>
      <c r="AL882" t="s">
        <v>14480</v>
      </c>
      <c r="AM882" t="s">
        <v>662</v>
      </c>
      <c r="AN882" t="s">
        <v>14481</v>
      </c>
      <c r="AO882" t="s">
        <v>14482</v>
      </c>
      <c r="AP882" t="s">
        <v>14483</v>
      </c>
      <c r="AQ882" t="s">
        <v>74</v>
      </c>
      <c r="AR882" t="s">
        <v>14484</v>
      </c>
      <c r="AS882" t="s">
        <v>14485</v>
      </c>
      <c r="AT882" t="s">
        <v>14472</v>
      </c>
      <c r="AU882">
        <v>2007</v>
      </c>
      <c r="AV882">
        <v>54</v>
      </c>
      <c r="AW882">
        <v>14</v>
      </c>
      <c r="AX882" t="s">
        <v>74</v>
      </c>
      <c r="AY882" t="s">
        <v>74</v>
      </c>
      <c r="AZ882" t="s">
        <v>74</v>
      </c>
      <c r="BA882" t="s">
        <v>74</v>
      </c>
      <c r="BB882">
        <v>81</v>
      </c>
      <c r="BC882">
        <v>84</v>
      </c>
      <c r="BD882" t="s">
        <v>74</v>
      </c>
      <c r="BE882" t="s">
        <v>74</v>
      </c>
      <c r="BF882" t="s">
        <v>74</v>
      </c>
      <c r="BG882" t="s">
        <v>74</v>
      </c>
      <c r="BH882" t="s">
        <v>74</v>
      </c>
      <c r="BI882">
        <v>4</v>
      </c>
      <c r="BJ882" t="s">
        <v>9147</v>
      </c>
      <c r="BK882" t="s">
        <v>3207</v>
      </c>
      <c r="BL882" t="s">
        <v>9148</v>
      </c>
      <c r="BM882" t="s">
        <v>14486</v>
      </c>
      <c r="BN882" t="s">
        <v>74</v>
      </c>
      <c r="BO882" t="s">
        <v>74</v>
      </c>
      <c r="BP882" t="s">
        <v>74</v>
      </c>
      <c r="BQ882" t="s">
        <v>74</v>
      </c>
      <c r="BR882" t="s">
        <v>100</v>
      </c>
      <c r="BS882" t="s">
        <v>14487</v>
      </c>
      <c r="BT882" t="str">
        <f>HYPERLINK("https%3A%2F%2Fwww.webofscience.com%2Fwos%2Fwoscc%2Ffull-record%2FWOS:000249325700029","View Full Record in Web of Science")</f>
        <v>View Full Record in Web of Science</v>
      </c>
    </row>
    <row r="883" spans="1:72" x14ac:dyDescent="0.15">
      <c r="A883" t="s">
        <v>72</v>
      </c>
      <c r="B883" t="s">
        <v>14488</v>
      </c>
      <c r="C883" t="s">
        <v>74</v>
      </c>
      <c r="D883" t="s">
        <v>74</v>
      </c>
      <c r="E883" t="s">
        <v>74</v>
      </c>
      <c r="F883" t="s">
        <v>14489</v>
      </c>
      <c r="G883" t="s">
        <v>74</v>
      </c>
      <c r="H883" t="s">
        <v>74</v>
      </c>
      <c r="I883" t="s">
        <v>14490</v>
      </c>
      <c r="J883" t="s">
        <v>10904</v>
      </c>
      <c r="K883" t="s">
        <v>74</v>
      </c>
      <c r="L883" t="s">
        <v>74</v>
      </c>
      <c r="M883" t="s">
        <v>78</v>
      </c>
      <c r="N883" t="s">
        <v>79</v>
      </c>
      <c r="O883" t="s">
        <v>74</v>
      </c>
      <c r="P883" t="s">
        <v>74</v>
      </c>
      <c r="Q883" t="s">
        <v>74</v>
      </c>
      <c r="R883" t="s">
        <v>74</v>
      </c>
      <c r="S883" t="s">
        <v>74</v>
      </c>
      <c r="T883" t="s">
        <v>14491</v>
      </c>
      <c r="U883" t="s">
        <v>14492</v>
      </c>
      <c r="V883" t="s">
        <v>14493</v>
      </c>
      <c r="W883" t="s">
        <v>14494</v>
      </c>
      <c r="X883" t="s">
        <v>14495</v>
      </c>
      <c r="Y883" t="s">
        <v>14496</v>
      </c>
      <c r="Z883" t="s">
        <v>14497</v>
      </c>
      <c r="AA883" t="s">
        <v>14498</v>
      </c>
      <c r="AB883" t="s">
        <v>14499</v>
      </c>
      <c r="AC883" t="s">
        <v>14500</v>
      </c>
      <c r="AD883" t="s">
        <v>14501</v>
      </c>
      <c r="AE883" t="s">
        <v>74</v>
      </c>
      <c r="AF883" t="s">
        <v>74</v>
      </c>
      <c r="AG883">
        <v>62</v>
      </c>
      <c r="AH883">
        <v>16</v>
      </c>
      <c r="AI883">
        <v>17</v>
      </c>
      <c r="AJ883">
        <v>0</v>
      </c>
      <c r="AK883">
        <v>13</v>
      </c>
      <c r="AL883" t="s">
        <v>265</v>
      </c>
      <c r="AM883" t="s">
        <v>266</v>
      </c>
      <c r="AN883" t="s">
        <v>267</v>
      </c>
      <c r="AO883" t="s">
        <v>10913</v>
      </c>
      <c r="AP883" t="s">
        <v>14502</v>
      </c>
      <c r="AQ883" t="s">
        <v>74</v>
      </c>
      <c r="AR883" t="s">
        <v>10914</v>
      </c>
      <c r="AS883" t="s">
        <v>10915</v>
      </c>
      <c r="AT883" t="s">
        <v>14472</v>
      </c>
      <c r="AU883">
        <v>2007</v>
      </c>
      <c r="AV883">
        <v>253</v>
      </c>
      <c r="AW883" t="s">
        <v>489</v>
      </c>
      <c r="AX883" t="s">
        <v>74</v>
      </c>
      <c r="AY883" t="s">
        <v>74</v>
      </c>
      <c r="AZ883" t="s">
        <v>74</v>
      </c>
      <c r="BA883" t="s">
        <v>74</v>
      </c>
      <c r="BB883">
        <v>509</v>
      </c>
      <c r="BC883">
        <v>528</v>
      </c>
      <c r="BD883" t="s">
        <v>74</v>
      </c>
      <c r="BE883" t="s">
        <v>14503</v>
      </c>
      <c r="BF883" t="str">
        <f>HYPERLINK("http://dx.doi.org/10.1016/j.palaeo.2007.06.018","http://dx.doi.org/10.1016/j.palaeo.2007.06.018")</f>
        <v>http://dx.doi.org/10.1016/j.palaeo.2007.06.018</v>
      </c>
      <c r="BG883" t="s">
        <v>74</v>
      </c>
      <c r="BH883" t="s">
        <v>74</v>
      </c>
      <c r="BI883">
        <v>20</v>
      </c>
      <c r="BJ883" t="s">
        <v>10918</v>
      </c>
      <c r="BK883" t="s">
        <v>97</v>
      </c>
      <c r="BL883" t="s">
        <v>10919</v>
      </c>
      <c r="BM883" t="s">
        <v>14504</v>
      </c>
      <c r="BN883" t="s">
        <v>74</v>
      </c>
      <c r="BO883" t="s">
        <v>74</v>
      </c>
      <c r="BP883" t="s">
        <v>74</v>
      </c>
      <c r="BQ883" t="s">
        <v>74</v>
      </c>
      <c r="BR883" t="s">
        <v>100</v>
      </c>
      <c r="BS883" t="s">
        <v>14505</v>
      </c>
      <c r="BT883" t="str">
        <f>HYPERLINK("https%3A%2F%2Fwww.webofscience.com%2Fwos%2Fwoscc%2Ffull-record%2FWOS:000250255400015","View Full Record in Web of Science")</f>
        <v>View Full Record in Web of Science</v>
      </c>
    </row>
    <row r="884" spans="1:72" x14ac:dyDescent="0.15">
      <c r="A884" t="s">
        <v>72</v>
      </c>
      <c r="B884" t="s">
        <v>14506</v>
      </c>
      <c r="C884" t="s">
        <v>74</v>
      </c>
      <c r="D884" t="s">
        <v>74</v>
      </c>
      <c r="E884" t="s">
        <v>74</v>
      </c>
      <c r="F884" t="s">
        <v>14507</v>
      </c>
      <c r="G884" t="s">
        <v>74</v>
      </c>
      <c r="H884" t="s">
        <v>74</v>
      </c>
      <c r="I884" t="s">
        <v>14508</v>
      </c>
      <c r="J884" t="s">
        <v>233</v>
      </c>
      <c r="K884" t="s">
        <v>74</v>
      </c>
      <c r="L884" t="s">
        <v>74</v>
      </c>
      <c r="M884" t="s">
        <v>78</v>
      </c>
      <c r="N884" t="s">
        <v>79</v>
      </c>
      <c r="O884" t="s">
        <v>74</v>
      </c>
      <c r="P884" t="s">
        <v>74</v>
      </c>
      <c r="Q884" t="s">
        <v>74</v>
      </c>
      <c r="R884" t="s">
        <v>74</v>
      </c>
      <c r="S884" t="s">
        <v>74</v>
      </c>
      <c r="T884" t="s">
        <v>74</v>
      </c>
      <c r="U884" t="s">
        <v>14509</v>
      </c>
      <c r="V884" t="s">
        <v>14510</v>
      </c>
      <c r="W884" t="s">
        <v>14511</v>
      </c>
      <c r="X884" t="s">
        <v>14512</v>
      </c>
      <c r="Y884" t="s">
        <v>14513</v>
      </c>
      <c r="Z884" t="s">
        <v>14514</v>
      </c>
      <c r="AA884" t="s">
        <v>74</v>
      </c>
      <c r="AB884" t="s">
        <v>74</v>
      </c>
      <c r="AC884" t="s">
        <v>74</v>
      </c>
      <c r="AD884" t="s">
        <v>74</v>
      </c>
      <c r="AE884" t="s">
        <v>74</v>
      </c>
      <c r="AF884" t="s">
        <v>74</v>
      </c>
      <c r="AG884">
        <v>26</v>
      </c>
      <c r="AH884">
        <v>3</v>
      </c>
      <c r="AI884">
        <v>4</v>
      </c>
      <c r="AJ884">
        <v>0</v>
      </c>
      <c r="AK884">
        <v>5</v>
      </c>
      <c r="AL884" t="s">
        <v>193</v>
      </c>
      <c r="AM884" t="s">
        <v>194</v>
      </c>
      <c r="AN884" t="s">
        <v>195</v>
      </c>
      <c r="AO884" t="s">
        <v>243</v>
      </c>
      <c r="AP884" t="s">
        <v>326</v>
      </c>
      <c r="AQ884" t="s">
        <v>74</v>
      </c>
      <c r="AR884" t="s">
        <v>244</v>
      </c>
      <c r="AS884" t="s">
        <v>245</v>
      </c>
      <c r="AT884" t="s">
        <v>14515</v>
      </c>
      <c r="AU884">
        <v>2007</v>
      </c>
      <c r="AV884">
        <v>34</v>
      </c>
      <c r="AW884">
        <v>18</v>
      </c>
      <c r="AX884" t="s">
        <v>74</v>
      </c>
      <c r="AY884" t="s">
        <v>74</v>
      </c>
      <c r="AZ884" t="s">
        <v>74</v>
      </c>
      <c r="BA884" t="s">
        <v>74</v>
      </c>
      <c r="BB884" t="s">
        <v>74</v>
      </c>
      <c r="BC884" t="s">
        <v>74</v>
      </c>
      <c r="BD884" t="s">
        <v>14516</v>
      </c>
      <c r="BE884" t="s">
        <v>14517</v>
      </c>
      <c r="BF884" t="str">
        <f>HYPERLINK("http://dx.doi.org/10.1029/2007GL030736","http://dx.doi.org/10.1029/2007GL030736")</f>
        <v>http://dx.doi.org/10.1029/2007GL030736</v>
      </c>
      <c r="BG884" t="s">
        <v>74</v>
      </c>
      <c r="BH884" t="s">
        <v>74</v>
      </c>
      <c r="BI884">
        <v>6</v>
      </c>
      <c r="BJ884" t="s">
        <v>96</v>
      </c>
      <c r="BK884" t="s">
        <v>97</v>
      </c>
      <c r="BL884" t="s">
        <v>98</v>
      </c>
      <c r="BM884" t="s">
        <v>14518</v>
      </c>
      <c r="BN884" t="s">
        <v>74</v>
      </c>
      <c r="BO884" t="s">
        <v>179</v>
      </c>
      <c r="BP884" t="s">
        <v>74</v>
      </c>
      <c r="BQ884" t="s">
        <v>74</v>
      </c>
      <c r="BR884" t="s">
        <v>100</v>
      </c>
      <c r="BS884" t="s">
        <v>14519</v>
      </c>
      <c r="BT884" t="str">
        <f>HYPERLINK("https%3A%2F%2Fwww.webofscience.com%2Fwos%2Fwoscc%2Ffull-record%2FWOS:000249850800003","View Full Record in Web of Science")</f>
        <v>View Full Record in Web of Science</v>
      </c>
    </row>
    <row r="885" spans="1:72" x14ac:dyDescent="0.15">
      <c r="A885" t="s">
        <v>72</v>
      </c>
      <c r="B885" t="s">
        <v>14520</v>
      </c>
      <c r="C885" t="s">
        <v>74</v>
      </c>
      <c r="D885" t="s">
        <v>74</v>
      </c>
      <c r="E885" t="s">
        <v>74</v>
      </c>
      <c r="F885" t="s">
        <v>14521</v>
      </c>
      <c r="G885" t="s">
        <v>74</v>
      </c>
      <c r="H885" t="s">
        <v>74</v>
      </c>
      <c r="I885" t="s">
        <v>14522</v>
      </c>
      <c r="J885" t="s">
        <v>730</v>
      </c>
      <c r="K885" t="s">
        <v>74</v>
      </c>
      <c r="L885" t="s">
        <v>74</v>
      </c>
      <c r="M885" t="s">
        <v>78</v>
      </c>
      <c r="N885" t="s">
        <v>79</v>
      </c>
      <c r="O885" t="s">
        <v>74</v>
      </c>
      <c r="P885" t="s">
        <v>74</v>
      </c>
      <c r="Q885" t="s">
        <v>74</v>
      </c>
      <c r="R885" t="s">
        <v>74</v>
      </c>
      <c r="S885" t="s">
        <v>74</v>
      </c>
      <c r="T885" t="s">
        <v>74</v>
      </c>
      <c r="U885" t="s">
        <v>14523</v>
      </c>
      <c r="V885" t="s">
        <v>14524</v>
      </c>
      <c r="W885" t="s">
        <v>14525</v>
      </c>
      <c r="X885" t="s">
        <v>14526</v>
      </c>
      <c r="Y885" t="s">
        <v>14527</v>
      </c>
      <c r="Z885" t="s">
        <v>14528</v>
      </c>
      <c r="AA885" t="s">
        <v>14529</v>
      </c>
      <c r="AB885" t="s">
        <v>14530</v>
      </c>
      <c r="AC885" t="s">
        <v>74</v>
      </c>
      <c r="AD885" t="s">
        <v>74</v>
      </c>
      <c r="AE885" t="s">
        <v>74</v>
      </c>
      <c r="AF885" t="s">
        <v>74</v>
      </c>
      <c r="AG885">
        <v>25</v>
      </c>
      <c r="AH885">
        <v>33</v>
      </c>
      <c r="AI885">
        <v>33</v>
      </c>
      <c r="AJ885">
        <v>2</v>
      </c>
      <c r="AK885">
        <v>16</v>
      </c>
      <c r="AL885" t="s">
        <v>193</v>
      </c>
      <c r="AM885" t="s">
        <v>194</v>
      </c>
      <c r="AN885" t="s">
        <v>195</v>
      </c>
      <c r="AO885" t="s">
        <v>739</v>
      </c>
      <c r="AP885" t="s">
        <v>740</v>
      </c>
      <c r="AQ885" t="s">
        <v>74</v>
      </c>
      <c r="AR885" t="s">
        <v>741</v>
      </c>
      <c r="AS885" t="s">
        <v>742</v>
      </c>
      <c r="AT885" t="s">
        <v>14531</v>
      </c>
      <c r="AU885">
        <v>2007</v>
      </c>
      <c r="AV885">
        <v>112</v>
      </c>
      <c r="AW885" t="s">
        <v>14532</v>
      </c>
      <c r="AX885" t="s">
        <v>74</v>
      </c>
      <c r="AY885" t="s">
        <v>74</v>
      </c>
      <c r="AZ885" t="s">
        <v>74</v>
      </c>
      <c r="BA885" t="s">
        <v>74</v>
      </c>
      <c r="BB885" t="s">
        <v>74</v>
      </c>
      <c r="BC885" t="s">
        <v>74</v>
      </c>
      <c r="BD885" t="s">
        <v>14533</v>
      </c>
      <c r="BE885" t="s">
        <v>14534</v>
      </c>
      <c r="BF885" t="str">
        <f>HYPERLINK("http://dx.doi.org/10.1029/2006JB004818","http://dx.doi.org/10.1029/2006JB004818")</f>
        <v>http://dx.doi.org/10.1029/2006JB004818</v>
      </c>
      <c r="BG885" t="s">
        <v>74</v>
      </c>
      <c r="BH885" t="s">
        <v>74</v>
      </c>
      <c r="BI885">
        <v>8</v>
      </c>
      <c r="BJ885" t="s">
        <v>553</v>
      </c>
      <c r="BK885" t="s">
        <v>97</v>
      </c>
      <c r="BL885" t="s">
        <v>553</v>
      </c>
      <c r="BM885" t="s">
        <v>14535</v>
      </c>
      <c r="BN885" t="s">
        <v>74</v>
      </c>
      <c r="BO885" t="s">
        <v>610</v>
      </c>
      <c r="BP885" t="s">
        <v>74</v>
      </c>
      <c r="BQ885" t="s">
        <v>74</v>
      </c>
      <c r="BR885" t="s">
        <v>100</v>
      </c>
      <c r="BS885" t="s">
        <v>14536</v>
      </c>
      <c r="BT885" t="str">
        <f>HYPERLINK("https%3A%2F%2Fwww.webofscience.com%2Fwos%2Fwoscc%2Ffull-record%2FWOS:000249854000001","View Full Record in Web of Science")</f>
        <v>View Full Record in Web of Science</v>
      </c>
    </row>
    <row r="886" spans="1:72" x14ac:dyDescent="0.15">
      <c r="A886" t="s">
        <v>72</v>
      </c>
      <c r="B886" t="s">
        <v>14537</v>
      </c>
      <c r="C886" t="s">
        <v>74</v>
      </c>
      <c r="D886" t="s">
        <v>74</v>
      </c>
      <c r="E886" t="s">
        <v>74</v>
      </c>
      <c r="F886" t="s">
        <v>14538</v>
      </c>
      <c r="G886" t="s">
        <v>74</v>
      </c>
      <c r="H886" t="s">
        <v>74</v>
      </c>
      <c r="I886" t="s">
        <v>14539</v>
      </c>
      <c r="J886" t="s">
        <v>233</v>
      </c>
      <c r="K886" t="s">
        <v>74</v>
      </c>
      <c r="L886" t="s">
        <v>74</v>
      </c>
      <c r="M886" t="s">
        <v>78</v>
      </c>
      <c r="N886" t="s">
        <v>79</v>
      </c>
      <c r="O886" t="s">
        <v>74</v>
      </c>
      <c r="P886" t="s">
        <v>74</v>
      </c>
      <c r="Q886" t="s">
        <v>74</v>
      </c>
      <c r="R886" t="s">
        <v>74</v>
      </c>
      <c r="S886" t="s">
        <v>74</v>
      </c>
      <c r="T886" t="s">
        <v>74</v>
      </c>
      <c r="U886" t="s">
        <v>14540</v>
      </c>
      <c r="V886" t="s">
        <v>14541</v>
      </c>
      <c r="W886" t="s">
        <v>14542</v>
      </c>
      <c r="X886" t="s">
        <v>14543</v>
      </c>
      <c r="Y886" t="s">
        <v>14544</v>
      </c>
      <c r="Z886" t="s">
        <v>74</v>
      </c>
      <c r="AA886" t="s">
        <v>14545</v>
      </c>
      <c r="AB886" t="s">
        <v>14546</v>
      </c>
      <c r="AC886" t="s">
        <v>74</v>
      </c>
      <c r="AD886" t="s">
        <v>74</v>
      </c>
      <c r="AE886" t="s">
        <v>74</v>
      </c>
      <c r="AF886" t="s">
        <v>74</v>
      </c>
      <c r="AG886">
        <v>24</v>
      </c>
      <c r="AH886">
        <v>24</v>
      </c>
      <c r="AI886">
        <v>26</v>
      </c>
      <c r="AJ886">
        <v>1</v>
      </c>
      <c r="AK886">
        <v>7</v>
      </c>
      <c r="AL886" t="s">
        <v>193</v>
      </c>
      <c r="AM886" t="s">
        <v>194</v>
      </c>
      <c r="AN886" t="s">
        <v>195</v>
      </c>
      <c r="AO886" t="s">
        <v>243</v>
      </c>
      <c r="AP886" t="s">
        <v>326</v>
      </c>
      <c r="AQ886" t="s">
        <v>74</v>
      </c>
      <c r="AR886" t="s">
        <v>244</v>
      </c>
      <c r="AS886" t="s">
        <v>245</v>
      </c>
      <c r="AT886" t="s">
        <v>14547</v>
      </c>
      <c r="AU886">
        <v>2007</v>
      </c>
      <c r="AV886">
        <v>34</v>
      </c>
      <c r="AW886">
        <v>18</v>
      </c>
      <c r="AX886" t="s">
        <v>74</v>
      </c>
      <c r="AY886" t="s">
        <v>74</v>
      </c>
      <c r="AZ886" t="s">
        <v>74</v>
      </c>
      <c r="BA886" t="s">
        <v>74</v>
      </c>
      <c r="BB886" t="s">
        <v>74</v>
      </c>
      <c r="BC886" t="s">
        <v>74</v>
      </c>
      <c r="BD886" t="s">
        <v>14548</v>
      </c>
      <c r="BE886" t="s">
        <v>14549</v>
      </c>
      <c r="BF886" t="str">
        <f>HYPERLINK("http://dx.doi.org/10.1029/2007GL030231","http://dx.doi.org/10.1029/2007GL030231")</f>
        <v>http://dx.doi.org/10.1029/2007GL030231</v>
      </c>
      <c r="BG886" t="s">
        <v>74</v>
      </c>
      <c r="BH886" t="s">
        <v>74</v>
      </c>
      <c r="BI886">
        <v>5</v>
      </c>
      <c r="BJ886" t="s">
        <v>96</v>
      </c>
      <c r="BK886" t="s">
        <v>97</v>
      </c>
      <c r="BL886" t="s">
        <v>98</v>
      </c>
      <c r="BM886" t="s">
        <v>14550</v>
      </c>
      <c r="BN886" t="s">
        <v>74</v>
      </c>
      <c r="BO886" t="s">
        <v>3777</v>
      </c>
      <c r="BP886" t="s">
        <v>74</v>
      </c>
      <c r="BQ886" t="s">
        <v>74</v>
      </c>
      <c r="BR886" t="s">
        <v>100</v>
      </c>
      <c r="BS886" t="s">
        <v>14551</v>
      </c>
      <c r="BT886" t="str">
        <f>HYPERLINK("https%3A%2F%2Fwww.webofscience.com%2Fwos%2Fwoscc%2Ffull-record%2FWOS:000249684200001","View Full Record in Web of Science")</f>
        <v>View Full Record in Web of Science</v>
      </c>
    </row>
    <row r="887" spans="1:72" x14ac:dyDescent="0.15">
      <c r="A887" t="s">
        <v>72</v>
      </c>
      <c r="B887" t="s">
        <v>14552</v>
      </c>
      <c r="C887" t="s">
        <v>74</v>
      </c>
      <c r="D887" t="s">
        <v>74</v>
      </c>
      <c r="E887" t="s">
        <v>74</v>
      </c>
      <c r="F887" t="s">
        <v>14553</v>
      </c>
      <c r="G887" t="s">
        <v>74</v>
      </c>
      <c r="H887" t="s">
        <v>74</v>
      </c>
      <c r="I887" t="s">
        <v>14554</v>
      </c>
      <c r="J887" t="s">
        <v>333</v>
      </c>
      <c r="K887" t="s">
        <v>74</v>
      </c>
      <c r="L887" t="s">
        <v>74</v>
      </c>
      <c r="M887" t="s">
        <v>78</v>
      </c>
      <c r="N887" t="s">
        <v>79</v>
      </c>
      <c r="O887" t="s">
        <v>74</v>
      </c>
      <c r="P887" t="s">
        <v>74</v>
      </c>
      <c r="Q887" t="s">
        <v>74</v>
      </c>
      <c r="R887" t="s">
        <v>74</v>
      </c>
      <c r="S887" t="s">
        <v>74</v>
      </c>
      <c r="T887" t="s">
        <v>74</v>
      </c>
      <c r="U887" t="s">
        <v>14555</v>
      </c>
      <c r="V887" t="s">
        <v>14556</v>
      </c>
      <c r="W887" t="s">
        <v>14557</v>
      </c>
      <c r="X887" t="s">
        <v>14558</v>
      </c>
      <c r="Y887" t="s">
        <v>14559</v>
      </c>
      <c r="Z887" t="s">
        <v>14560</v>
      </c>
      <c r="AA887" t="s">
        <v>14561</v>
      </c>
      <c r="AB887" t="s">
        <v>14562</v>
      </c>
      <c r="AC887" t="s">
        <v>1636</v>
      </c>
      <c r="AD887" t="s">
        <v>444</v>
      </c>
      <c r="AE887" t="s">
        <v>74</v>
      </c>
      <c r="AF887" t="s">
        <v>74</v>
      </c>
      <c r="AG887">
        <v>31</v>
      </c>
      <c r="AH887">
        <v>24</v>
      </c>
      <c r="AI887">
        <v>25</v>
      </c>
      <c r="AJ887">
        <v>0</v>
      </c>
      <c r="AK887">
        <v>4</v>
      </c>
      <c r="AL887" t="s">
        <v>193</v>
      </c>
      <c r="AM887" t="s">
        <v>194</v>
      </c>
      <c r="AN887" t="s">
        <v>195</v>
      </c>
      <c r="AO887" t="s">
        <v>344</v>
      </c>
      <c r="AP887" t="s">
        <v>345</v>
      </c>
      <c r="AQ887" t="s">
        <v>74</v>
      </c>
      <c r="AR887" t="s">
        <v>346</v>
      </c>
      <c r="AS887" t="s">
        <v>347</v>
      </c>
      <c r="AT887" t="s">
        <v>14547</v>
      </c>
      <c r="AU887">
        <v>2007</v>
      </c>
      <c r="AV887">
        <v>112</v>
      </c>
      <c r="AW887" t="s">
        <v>14563</v>
      </c>
      <c r="AX887" t="s">
        <v>74</v>
      </c>
      <c r="AY887" t="s">
        <v>74</v>
      </c>
      <c r="AZ887" t="s">
        <v>74</v>
      </c>
      <c r="BA887" t="s">
        <v>74</v>
      </c>
      <c r="BB887" t="s">
        <v>74</v>
      </c>
      <c r="BC887" t="s">
        <v>74</v>
      </c>
      <c r="BD887" t="s">
        <v>14564</v>
      </c>
      <c r="BE887" t="s">
        <v>14565</v>
      </c>
      <c r="BF887" t="str">
        <f>HYPERLINK("http://dx.doi.org/10.1029/2006JA012085","http://dx.doi.org/10.1029/2006JA012085")</f>
        <v>http://dx.doi.org/10.1029/2006JA012085</v>
      </c>
      <c r="BG887" t="s">
        <v>74</v>
      </c>
      <c r="BH887" t="s">
        <v>74</v>
      </c>
      <c r="BI887">
        <v>10</v>
      </c>
      <c r="BJ887" t="s">
        <v>351</v>
      </c>
      <c r="BK887" t="s">
        <v>97</v>
      </c>
      <c r="BL887" t="s">
        <v>351</v>
      </c>
      <c r="BM887" t="s">
        <v>14566</v>
      </c>
      <c r="BN887" t="s">
        <v>74</v>
      </c>
      <c r="BO887" t="s">
        <v>74</v>
      </c>
      <c r="BP887" t="s">
        <v>74</v>
      </c>
      <c r="BQ887" t="s">
        <v>74</v>
      </c>
      <c r="BR887" t="s">
        <v>100</v>
      </c>
      <c r="BS887" t="s">
        <v>14567</v>
      </c>
      <c r="BT887" t="str">
        <f>HYPERLINK("https%3A%2F%2Fwww.webofscience.com%2Fwos%2Fwoscc%2Ffull-record%2FWOS:000249690300001","View Full Record in Web of Science")</f>
        <v>View Full Record in Web of Science</v>
      </c>
    </row>
    <row r="888" spans="1:72" x14ac:dyDescent="0.15">
      <c r="A888" t="s">
        <v>72</v>
      </c>
      <c r="B888" t="s">
        <v>14568</v>
      </c>
      <c r="C888" t="s">
        <v>74</v>
      </c>
      <c r="D888" t="s">
        <v>74</v>
      </c>
      <c r="E888" t="s">
        <v>74</v>
      </c>
      <c r="F888" t="s">
        <v>14569</v>
      </c>
      <c r="G888" t="s">
        <v>74</v>
      </c>
      <c r="H888" t="s">
        <v>74</v>
      </c>
      <c r="I888" t="s">
        <v>14570</v>
      </c>
      <c r="J888" t="s">
        <v>676</v>
      </c>
      <c r="K888" t="s">
        <v>74</v>
      </c>
      <c r="L888" t="s">
        <v>74</v>
      </c>
      <c r="M888" t="s">
        <v>78</v>
      </c>
      <c r="N888" t="s">
        <v>2891</v>
      </c>
      <c r="O888" t="s">
        <v>74</v>
      </c>
      <c r="P888" t="s">
        <v>74</v>
      </c>
      <c r="Q888" t="s">
        <v>74</v>
      </c>
      <c r="R888" t="s">
        <v>74</v>
      </c>
      <c r="S888" t="s">
        <v>74</v>
      </c>
      <c r="T888" t="s">
        <v>74</v>
      </c>
      <c r="U888" t="s">
        <v>74</v>
      </c>
      <c r="V888" t="s">
        <v>74</v>
      </c>
      <c r="W888" t="s">
        <v>74</v>
      </c>
      <c r="X888" t="s">
        <v>74</v>
      </c>
      <c r="Y888" t="s">
        <v>74</v>
      </c>
      <c r="Z888" t="s">
        <v>74</v>
      </c>
      <c r="AA888" t="s">
        <v>74</v>
      </c>
      <c r="AB888" t="s">
        <v>74</v>
      </c>
      <c r="AC888" t="s">
        <v>74</v>
      </c>
      <c r="AD888" t="s">
        <v>74</v>
      </c>
      <c r="AE888" t="s">
        <v>74</v>
      </c>
      <c r="AF888" t="s">
        <v>74</v>
      </c>
      <c r="AG888">
        <v>0</v>
      </c>
      <c r="AH888">
        <v>0</v>
      </c>
      <c r="AI888">
        <v>0</v>
      </c>
      <c r="AJ888">
        <v>0</v>
      </c>
      <c r="AK888">
        <v>1</v>
      </c>
      <c r="AL888" t="s">
        <v>677</v>
      </c>
      <c r="AM888" t="s">
        <v>678</v>
      </c>
      <c r="AN888" t="s">
        <v>679</v>
      </c>
      <c r="AO888" t="s">
        <v>680</v>
      </c>
      <c r="AP888" t="s">
        <v>74</v>
      </c>
      <c r="AQ888" t="s">
        <v>74</v>
      </c>
      <c r="AR888" t="s">
        <v>681</v>
      </c>
      <c r="AS888" t="s">
        <v>682</v>
      </c>
      <c r="AT888" t="s">
        <v>14547</v>
      </c>
      <c r="AU888">
        <v>2007</v>
      </c>
      <c r="AV888">
        <v>195</v>
      </c>
      <c r="AW888">
        <v>2622</v>
      </c>
      <c r="AX888" t="s">
        <v>74</v>
      </c>
      <c r="AY888" t="s">
        <v>74</v>
      </c>
      <c r="AZ888" t="s">
        <v>74</v>
      </c>
      <c r="BA888" t="s">
        <v>74</v>
      </c>
      <c r="BB888">
        <v>24</v>
      </c>
      <c r="BC888">
        <v>24</v>
      </c>
      <c r="BD888" t="s">
        <v>74</v>
      </c>
      <c r="BE888" t="s">
        <v>14571</v>
      </c>
      <c r="BF888" t="str">
        <f>HYPERLINK("http://dx.doi.org/10.1016/S0262-4079(07)62393-8","http://dx.doi.org/10.1016/S0262-4079(07)62393-8")</f>
        <v>http://dx.doi.org/10.1016/S0262-4079(07)62393-8</v>
      </c>
      <c r="BG888" t="s">
        <v>74</v>
      </c>
      <c r="BH888" t="s">
        <v>74</v>
      </c>
      <c r="BI888">
        <v>1</v>
      </c>
      <c r="BJ888" t="s">
        <v>684</v>
      </c>
      <c r="BK888" t="s">
        <v>97</v>
      </c>
      <c r="BL888" t="s">
        <v>685</v>
      </c>
      <c r="BM888" t="s">
        <v>14572</v>
      </c>
      <c r="BN888" t="s">
        <v>74</v>
      </c>
      <c r="BO888" t="s">
        <v>74</v>
      </c>
      <c r="BP888" t="s">
        <v>74</v>
      </c>
      <c r="BQ888" t="s">
        <v>74</v>
      </c>
      <c r="BR888" t="s">
        <v>100</v>
      </c>
      <c r="BS888" t="s">
        <v>14573</v>
      </c>
      <c r="BT888" t="str">
        <f>HYPERLINK("https%3A%2F%2Fwww.webofscience.com%2Fwos%2Fwoscc%2Ffull-record%2FWOS:000249740400015","View Full Record in Web of Science")</f>
        <v>View Full Record in Web of Science</v>
      </c>
    </row>
    <row r="889" spans="1:72" x14ac:dyDescent="0.15">
      <c r="A889" t="s">
        <v>72</v>
      </c>
      <c r="B889" t="s">
        <v>14574</v>
      </c>
      <c r="C889" t="s">
        <v>74</v>
      </c>
      <c r="D889" t="s">
        <v>74</v>
      </c>
      <c r="E889" t="s">
        <v>74</v>
      </c>
      <c r="F889" t="s">
        <v>14575</v>
      </c>
      <c r="G889" t="s">
        <v>74</v>
      </c>
      <c r="H889" t="s">
        <v>74</v>
      </c>
      <c r="I889" t="s">
        <v>14576</v>
      </c>
      <c r="J889" t="s">
        <v>14577</v>
      </c>
      <c r="K889" t="s">
        <v>74</v>
      </c>
      <c r="L889" t="s">
        <v>74</v>
      </c>
      <c r="M889" t="s">
        <v>78</v>
      </c>
      <c r="N889" t="s">
        <v>692</v>
      </c>
      <c r="O889" t="s">
        <v>74</v>
      </c>
      <c r="P889" t="s">
        <v>74</v>
      </c>
      <c r="Q889" t="s">
        <v>74</v>
      </c>
      <c r="R889" t="s">
        <v>74</v>
      </c>
      <c r="S889" t="s">
        <v>74</v>
      </c>
      <c r="T889" t="s">
        <v>74</v>
      </c>
      <c r="U889" t="s">
        <v>74</v>
      </c>
      <c r="V889" t="s">
        <v>74</v>
      </c>
      <c r="W889" t="s">
        <v>74</v>
      </c>
      <c r="X889" t="s">
        <v>74</v>
      </c>
      <c r="Y889" t="s">
        <v>74</v>
      </c>
      <c r="Z889" t="s">
        <v>74</v>
      </c>
      <c r="AA889" t="s">
        <v>74</v>
      </c>
      <c r="AB889" t="s">
        <v>74</v>
      </c>
      <c r="AC889" t="s">
        <v>74</v>
      </c>
      <c r="AD889" t="s">
        <v>74</v>
      </c>
      <c r="AE889" t="s">
        <v>74</v>
      </c>
      <c r="AF889" t="s">
        <v>74</v>
      </c>
      <c r="AG889">
        <v>1</v>
      </c>
      <c r="AH889">
        <v>0</v>
      </c>
      <c r="AI889">
        <v>0</v>
      </c>
      <c r="AJ889">
        <v>0</v>
      </c>
      <c r="AK889">
        <v>5</v>
      </c>
      <c r="AL889" t="s">
        <v>1466</v>
      </c>
      <c r="AM889" t="s">
        <v>1467</v>
      </c>
      <c r="AN889" t="s">
        <v>1468</v>
      </c>
      <c r="AO889" t="s">
        <v>14578</v>
      </c>
      <c r="AP889" t="s">
        <v>14579</v>
      </c>
      <c r="AQ889" t="s">
        <v>74</v>
      </c>
      <c r="AR889" t="s">
        <v>14580</v>
      </c>
      <c r="AS889" t="s">
        <v>14581</v>
      </c>
      <c r="AT889" t="s">
        <v>14582</v>
      </c>
      <c r="AU889">
        <v>2007</v>
      </c>
      <c r="AV889" t="s">
        <v>74</v>
      </c>
      <c r="AW889">
        <v>35</v>
      </c>
      <c r="AX889" t="s">
        <v>74</v>
      </c>
      <c r="AY889" t="s">
        <v>74</v>
      </c>
      <c r="AZ889" t="s">
        <v>74</v>
      </c>
      <c r="BA889" t="s">
        <v>74</v>
      </c>
      <c r="BB889" t="s">
        <v>14583</v>
      </c>
      <c r="BC889" t="s">
        <v>14583</v>
      </c>
      <c r="BD889" t="s">
        <v>74</v>
      </c>
      <c r="BE889" t="s">
        <v>74</v>
      </c>
      <c r="BF889" t="s">
        <v>74</v>
      </c>
      <c r="BG889" t="s">
        <v>74</v>
      </c>
      <c r="BH889" t="s">
        <v>74</v>
      </c>
      <c r="BI889">
        <v>1</v>
      </c>
      <c r="BJ889" t="s">
        <v>14584</v>
      </c>
      <c r="BK889" t="s">
        <v>97</v>
      </c>
      <c r="BL889" t="s">
        <v>469</v>
      </c>
      <c r="BM889" t="s">
        <v>14585</v>
      </c>
      <c r="BN889" t="s">
        <v>74</v>
      </c>
      <c r="BO889" t="s">
        <v>74</v>
      </c>
      <c r="BP889" t="s">
        <v>74</v>
      </c>
      <c r="BQ889" t="s">
        <v>74</v>
      </c>
      <c r="BR889" t="s">
        <v>100</v>
      </c>
      <c r="BS889" t="s">
        <v>14586</v>
      </c>
      <c r="BT889" t="str">
        <f>HYPERLINK("https%3A%2F%2Fwww.webofscience.com%2Fwos%2Fwoscc%2Ffull-record%2FWOS:000249588300002","View Full Record in Web of Science")</f>
        <v>View Full Record in Web of Science</v>
      </c>
    </row>
    <row r="890" spans="1:72" x14ac:dyDescent="0.15">
      <c r="A890" t="s">
        <v>72</v>
      </c>
      <c r="B890" t="s">
        <v>14587</v>
      </c>
      <c r="C890" t="s">
        <v>74</v>
      </c>
      <c r="D890" t="s">
        <v>74</v>
      </c>
      <c r="E890" t="s">
        <v>74</v>
      </c>
      <c r="F890" t="s">
        <v>14588</v>
      </c>
      <c r="G890" t="s">
        <v>74</v>
      </c>
      <c r="H890" t="s">
        <v>74</v>
      </c>
      <c r="I890" t="s">
        <v>14589</v>
      </c>
      <c r="J890" t="s">
        <v>233</v>
      </c>
      <c r="K890" t="s">
        <v>74</v>
      </c>
      <c r="L890" t="s">
        <v>74</v>
      </c>
      <c r="M890" t="s">
        <v>78</v>
      </c>
      <c r="N890" t="s">
        <v>79</v>
      </c>
      <c r="O890" t="s">
        <v>74</v>
      </c>
      <c r="P890" t="s">
        <v>74</v>
      </c>
      <c r="Q890" t="s">
        <v>74</v>
      </c>
      <c r="R890" t="s">
        <v>74</v>
      </c>
      <c r="S890" t="s">
        <v>74</v>
      </c>
      <c r="T890" t="s">
        <v>74</v>
      </c>
      <c r="U890" t="s">
        <v>14590</v>
      </c>
      <c r="V890" t="s">
        <v>14591</v>
      </c>
      <c r="W890" t="s">
        <v>14592</v>
      </c>
      <c r="X890" t="s">
        <v>14593</v>
      </c>
      <c r="Y890" t="s">
        <v>14594</v>
      </c>
      <c r="Z890" t="s">
        <v>74</v>
      </c>
      <c r="AA890" t="s">
        <v>14595</v>
      </c>
      <c r="AB890" t="s">
        <v>14596</v>
      </c>
      <c r="AC890" t="s">
        <v>74</v>
      </c>
      <c r="AD890" t="s">
        <v>74</v>
      </c>
      <c r="AE890" t="s">
        <v>74</v>
      </c>
      <c r="AF890" t="s">
        <v>74</v>
      </c>
      <c r="AG890">
        <v>30</v>
      </c>
      <c r="AH890">
        <v>10</v>
      </c>
      <c r="AI890">
        <v>11</v>
      </c>
      <c r="AJ890">
        <v>0</v>
      </c>
      <c r="AK890">
        <v>6</v>
      </c>
      <c r="AL890" t="s">
        <v>193</v>
      </c>
      <c r="AM890" t="s">
        <v>194</v>
      </c>
      <c r="AN890" t="s">
        <v>195</v>
      </c>
      <c r="AO890" t="s">
        <v>243</v>
      </c>
      <c r="AP890" t="s">
        <v>74</v>
      </c>
      <c r="AQ890" t="s">
        <v>74</v>
      </c>
      <c r="AR890" t="s">
        <v>244</v>
      </c>
      <c r="AS890" t="s">
        <v>245</v>
      </c>
      <c r="AT890" t="s">
        <v>14582</v>
      </c>
      <c r="AU890">
        <v>2007</v>
      </c>
      <c r="AV890">
        <v>34</v>
      </c>
      <c r="AW890">
        <v>18</v>
      </c>
      <c r="AX890" t="s">
        <v>74</v>
      </c>
      <c r="AY890" t="s">
        <v>74</v>
      </c>
      <c r="AZ890" t="s">
        <v>74</v>
      </c>
      <c r="BA890" t="s">
        <v>74</v>
      </c>
      <c r="BB890" t="s">
        <v>74</v>
      </c>
      <c r="BC890" t="s">
        <v>74</v>
      </c>
      <c r="BD890" t="s">
        <v>14597</v>
      </c>
      <c r="BE890" t="s">
        <v>14598</v>
      </c>
      <c r="BF890" t="str">
        <f>HYPERLINK("http://dx.doi.org/10.1029/2007GL030900","http://dx.doi.org/10.1029/2007GL030900")</f>
        <v>http://dx.doi.org/10.1029/2007GL030900</v>
      </c>
      <c r="BG890" t="s">
        <v>74</v>
      </c>
      <c r="BH890" t="s">
        <v>74</v>
      </c>
      <c r="BI890">
        <v>5</v>
      </c>
      <c r="BJ890" t="s">
        <v>96</v>
      </c>
      <c r="BK890" t="s">
        <v>97</v>
      </c>
      <c r="BL890" t="s">
        <v>98</v>
      </c>
      <c r="BM890" t="s">
        <v>14599</v>
      </c>
      <c r="BN890" t="s">
        <v>74</v>
      </c>
      <c r="BO890" t="s">
        <v>313</v>
      </c>
      <c r="BP890" t="s">
        <v>74</v>
      </c>
      <c r="BQ890" t="s">
        <v>74</v>
      </c>
      <c r="BR890" t="s">
        <v>100</v>
      </c>
      <c r="BS890" t="s">
        <v>14600</v>
      </c>
      <c r="BT890" t="str">
        <f>HYPERLINK("https%3A%2F%2Fwww.webofscience.com%2Fwos%2Fwoscc%2Ffull-record%2FWOS:000249683900006","View Full Record in Web of Science")</f>
        <v>View Full Record in Web of Science</v>
      </c>
    </row>
    <row r="891" spans="1:72" x14ac:dyDescent="0.15">
      <c r="A891" t="s">
        <v>72</v>
      </c>
      <c r="B891" t="s">
        <v>14601</v>
      </c>
      <c r="C891" t="s">
        <v>74</v>
      </c>
      <c r="D891" t="s">
        <v>74</v>
      </c>
      <c r="E891" t="s">
        <v>74</v>
      </c>
      <c r="F891" t="s">
        <v>14602</v>
      </c>
      <c r="G891" t="s">
        <v>74</v>
      </c>
      <c r="H891" t="s">
        <v>74</v>
      </c>
      <c r="I891" t="s">
        <v>14603</v>
      </c>
      <c r="J891" t="s">
        <v>233</v>
      </c>
      <c r="K891" t="s">
        <v>74</v>
      </c>
      <c r="L891" t="s">
        <v>74</v>
      </c>
      <c r="M891" t="s">
        <v>78</v>
      </c>
      <c r="N891" t="s">
        <v>79</v>
      </c>
      <c r="O891" t="s">
        <v>74</v>
      </c>
      <c r="P891" t="s">
        <v>74</v>
      </c>
      <c r="Q891" t="s">
        <v>74</v>
      </c>
      <c r="R891" t="s">
        <v>74</v>
      </c>
      <c r="S891" t="s">
        <v>74</v>
      </c>
      <c r="T891" t="s">
        <v>74</v>
      </c>
      <c r="U891" t="s">
        <v>14604</v>
      </c>
      <c r="V891" t="s">
        <v>14605</v>
      </c>
      <c r="W891" t="s">
        <v>14606</v>
      </c>
      <c r="X891" t="s">
        <v>14607</v>
      </c>
      <c r="Y891" t="s">
        <v>14608</v>
      </c>
      <c r="Z891" t="s">
        <v>14609</v>
      </c>
      <c r="AA891" t="s">
        <v>14610</v>
      </c>
      <c r="AB891" t="s">
        <v>14611</v>
      </c>
      <c r="AC891" t="s">
        <v>14612</v>
      </c>
      <c r="AD891" t="s">
        <v>444</v>
      </c>
      <c r="AE891" t="s">
        <v>74</v>
      </c>
      <c r="AF891" t="s">
        <v>74</v>
      </c>
      <c r="AG891">
        <v>26</v>
      </c>
      <c r="AH891">
        <v>50</v>
      </c>
      <c r="AI891">
        <v>55</v>
      </c>
      <c r="AJ891">
        <v>0</v>
      </c>
      <c r="AK891">
        <v>4</v>
      </c>
      <c r="AL891" t="s">
        <v>193</v>
      </c>
      <c r="AM891" t="s">
        <v>194</v>
      </c>
      <c r="AN891" t="s">
        <v>195</v>
      </c>
      <c r="AO891" t="s">
        <v>243</v>
      </c>
      <c r="AP891" t="s">
        <v>326</v>
      </c>
      <c r="AQ891" t="s">
        <v>74</v>
      </c>
      <c r="AR891" t="s">
        <v>244</v>
      </c>
      <c r="AS891" t="s">
        <v>245</v>
      </c>
      <c r="AT891" t="s">
        <v>14582</v>
      </c>
      <c r="AU891">
        <v>2007</v>
      </c>
      <c r="AV891">
        <v>34</v>
      </c>
      <c r="AW891">
        <v>18</v>
      </c>
      <c r="AX891" t="s">
        <v>74</v>
      </c>
      <c r="AY891" t="s">
        <v>74</v>
      </c>
      <c r="AZ891" t="s">
        <v>74</v>
      </c>
      <c r="BA891" t="s">
        <v>74</v>
      </c>
      <c r="BB891" t="s">
        <v>74</v>
      </c>
      <c r="BC891" t="s">
        <v>74</v>
      </c>
      <c r="BD891" t="s">
        <v>14613</v>
      </c>
      <c r="BE891" t="s">
        <v>14614</v>
      </c>
      <c r="BF891" t="str">
        <f>HYPERLINK("http://dx.doi.org/10.1029/2007GL031207","http://dx.doi.org/10.1029/2007GL031207")</f>
        <v>http://dx.doi.org/10.1029/2007GL031207</v>
      </c>
      <c r="BG891" t="s">
        <v>74</v>
      </c>
      <c r="BH891" t="s">
        <v>74</v>
      </c>
      <c r="BI891">
        <v>6</v>
      </c>
      <c r="BJ891" t="s">
        <v>96</v>
      </c>
      <c r="BK891" t="s">
        <v>97</v>
      </c>
      <c r="BL891" t="s">
        <v>98</v>
      </c>
      <c r="BM891" t="s">
        <v>14599</v>
      </c>
      <c r="BN891" t="s">
        <v>74</v>
      </c>
      <c r="BO891" t="s">
        <v>179</v>
      </c>
      <c r="BP891" t="s">
        <v>74</v>
      </c>
      <c r="BQ891" t="s">
        <v>74</v>
      </c>
      <c r="BR891" t="s">
        <v>100</v>
      </c>
      <c r="BS891" t="s">
        <v>14615</v>
      </c>
      <c r="BT891" t="str">
        <f>HYPERLINK("https%3A%2F%2Fwww.webofscience.com%2Fwos%2Fwoscc%2Ffull-record%2FWOS:000249683900007","View Full Record in Web of Science")</f>
        <v>View Full Record in Web of Science</v>
      </c>
    </row>
    <row r="892" spans="1:72" x14ac:dyDescent="0.15">
      <c r="A892" t="s">
        <v>72</v>
      </c>
      <c r="B892" t="s">
        <v>14616</v>
      </c>
      <c r="C892" t="s">
        <v>74</v>
      </c>
      <c r="D892" t="s">
        <v>74</v>
      </c>
      <c r="E892" t="s">
        <v>74</v>
      </c>
      <c r="F892" t="s">
        <v>14617</v>
      </c>
      <c r="G892" t="s">
        <v>74</v>
      </c>
      <c r="H892" t="s">
        <v>74</v>
      </c>
      <c r="I892" t="s">
        <v>14618</v>
      </c>
      <c r="J892" t="s">
        <v>12534</v>
      </c>
      <c r="K892" t="s">
        <v>74</v>
      </c>
      <c r="L892" t="s">
        <v>74</v>
      </c>
      <c r="M892" t="s">
        <v>78</v>
      </c>
      <c r="N892" t="s">
        <v>1602</v>
      </c>
      <c r="O892" t="s">
        <v>14619</v>
      </c>
      <c r="P892" t="s">
        <v>14620</v>
      </c>
      <c r="Q892" t="s">
        <v>14621</v>
      </c>
      <c r="R892" t="s">
        <v>74</v>
      </c>
      <c r="S892" t="s">
        <v>14622</v>
      </c>
      <c r="T892" t="s">
        <v>14623</v>
      </c>
      <c r="U892" t="s">
        <v>14624</v>
      </c>
      <c r="V892" t="s">
        <v>14625</v>
      </c>
      <c r="W892" t="s">
        <v>14626</v>
      </c>
      <c r="X892" t="s">
        <v>14627</v>
      </c>
      <c r="Y892" t="s">
        <v>14628</v>
      </c>
      <c r="Z892" t="s">
        <v>14629</v>
      </c>
      <c r="AA892" t="s">
        <v>74</v>
      </c>
      <c r="AB892" t="s">
        <v>74</v>
      </c>
      <c r="AC892" t="s">
        <v>74</v>
      </c>
      <c r="AD892" t="s">
        <v>74</v>
      </c>
      <c r="AE892" t="s">
        <v>74</v>
      </c>
      <c r="AF892" t="s">
        <v>74</v>
      </c>
      <c r="AG892">
        <v>27</v>
      </c>
      <c r="AH892">
        <v>2</v>
      </c>
      <c r="AI892">
        <v>2</v>
      </c>
      <c r="AJ892">
        <v>0</v>
      </c>
      <c r="AK892">
        <v>7</v>
      </c>
      <c r="AL892" t="s">
        <v>506</v>
      </c>
      <c r="AM892" t="s">
        <v>266</v>
      </c>
      <c r="AN892" t="s">
        <v>507</v>
      </c>
      <c r="AO892" t="s">
        <v>12544</v>
      </c>
      <c r="AP892" t="s">
        <v>14630</v>
      </c>
      <c r="AQ892" t="s">
        <v>74</v>
      </c>
      <c r="AR892" t="s">
        <v>12545</v>
      </c>
      <c r="AS892" t="s">
        <v>12546</v>
      </c>
      <c r="AT892" t="s">
        <v>14582</v>
      </c>
      <c r="AU892">
        <v>2007</v>
      </c>
      <c r="AV892">
        <v>580</v>
      </c>
      <c r="AW892">
        <v>1</v>
      </c>
      <c r="AX892" t="s">
        <v>74</v>
      </c>
      <c r="AY892" t="s">
        <v>74</v>
      </c>
      <c r="AZ892" t="s">
        <v>74</v>
      </c>
      <c r="BA892" t="s">
        <v>74</v>
      </c>
      <c r="BB892">
        <v>644</v>
      </c>
      <c r="BC892">
        <v>647</v>
      </c>
      <c r="BD892" t="s">
        <v>74</v>
      </c>
      <c r="BE892" t="s">
        <v>14631</v>
      </c>
      <c r="BF892" t="str">
        <f>HYPERLINK("http://dx.doi.org/10.1016/j.nima.2007.05.058","http://dx.doi.org/10.1016/j.nima.2007.05.058")</f>
        <v>http://dx.doi.org/10.1016/j.nima.2007.05.058</v>
      </c>
      <c r="BG892" t="s">
        <v>74</v>
      </c>
      <c r="BH892" t="s">
        <v>74</v>
      </c>
      <c r="BI892">
        <v>4</v>
      </c>
      <c r="BJ892" t="s">
        <v>12548</v>
      </c>
      <c r="BK892" t="s">
        <v>1616</v>
      </c>
      <c r="BL892" t="s">
        <v>12549</v>
      </c>
      <c r="BM892" t="s">
        <v>14632</v>
      </c>
      <c r="BN892" t="s">
        <v>74</v>
      </c>
      <c r="BO892" t="s">
        <v>74</v>
      </c>
      <c r="BP892" t="s">
        <v>74</v>
      </c>
      <c r="BQ892" t="s">
        <v>74</v>
      </c>
      <c r="BR892" t="s">
        <v>100</v>
      </c>
      <c r="BS892" t="s">
        <v>14633</v>
      </c>
      <c r="BT892" t="str">
        <f>HYPERLINK("https%3A%2F%2Fwww.webofscience.com%2Fwos%2Fwoscc%2Ffull-record%2FWOS:000249741300165","View Full Record in Web of Science")</f>
        <v>View Full Record in Web of Science</v>
      </c>
    </row>
    <row r="893" spans="1:72" x14ac:dyDescent="0.15">
      <c r="A893" t="s">
        <v>72</v>
      </c>
      <c r="B893" t="s">
        <v>14634</v>
      </c>
      <c r="C893" t="s">
        <v>74</v>
      </c>
      <c r="D893" t="s">
        <v>74</v>
      </c>
      <c r="E893" t="s">
        <v>74</v>
      </c>
      <c r="F893" t="s">
        <v>14635</v>
      </c>
      <c r="G893" t="s">
        <v>74</v>
      </c>
      <c r="H893" t="s">
        <v>74</v>
      </c>
      <c r="I893" t="s">
        <v>14636</v>
      </c>
      <c r="J893" t="s">
        <v>184</v>
      </c>
      <c r="K893" t="s">
        <v>74</v>
      </c>
      <c r="L893" t="s">
        <v>74</v>
      </c>
      <c r="M893" t="s">
        <v>78</v>
      </c>
      <c r="N893" t="s">
        <v>79</v>
      </c>
      <c r="O893" t="s">
        <v>74</v>
      </c>
      <c r="P893" t="s">
        <v>74</v>
      </c>
      <c r="Q893" t="s">
        <v>74</v>
      </c>
      <c r="R893" t="s">
        <v>74</v>
      </c>
      <c r="S893" t="s">
        <v>74</v>
      </c>
      <c r="T893" t="s">
        <v>74</v>
      </c>
      <c r="U893" t="s">
        <v>14637</v>
      </c>
      <c r="V893" t="s">
        <v>14638</v>
      </c>
      <c r="W893" t="s">
        <v>14639</v>
      </c>
      <c r="X893" t="s">
        <v>14640</v>
      </c>
      <c r="Y893" t="s">
        <v>14641</v>
      </c>
      <c r="Z893" t="s">
        <v>74</v>
      </c>
      <c r="AA893" t="s">
        <v>14642</v>
      </c>
      <c r="AB893" t="s">
        <v>14643</v>
      </c>
      <c r="AC893" t="s">
        <v>74</v>
      </c>
      <c r="AD893" t="s">
        <v>74</v>
      </c>
      <c r="AE893" t="s">
        <v>74</v>
      </c>
      <c r="AF893" t="s">
        <v>74</v>
      </c>
      <c r="AG893">
        <v>98</v>
      </c>
      <c r="AH893">
        <v>23</v>
      </c>
      <c r="AI893">
        <v>29</v>
      </c>
      <c r="AJ893">
        <v>1</v>
      </c>
      <c r="AK893">
        <v>11</v>
      </c>
      <c r="AL893" t="s">
        <v>193</v>
      </c>
      <c r="AM893" t="s">
        <v>194</v>
      </c>
      <c r="AN893" t="s">
        <v>195</v>
      </c>
      <c r="AO893" t="s">
        <v>196</v>
      </c>
      <c r="AP893" t="s">
        <v>197</v>
      </c>
      <c r="AQ893" t="s">
        <v>74</v>
      </c>
      <c r="AR893" t="s">
        <v>198</v>
      </c>
      <c r="AS893" t="s">
        <v>199</v>
      </c>
      <c r="AT893" t="s">
        <v>14644</v>
      </c>
      <c r="AU893">
        <v>2007</v>
      </c>
      <c r="AV893">
        <v>112</v>
      </c>
      <c r="AW893" t="s">
        <v>14645</v>
      </c>
      <c r="AX893" t="s">
        <v>74</v>
      </c>
      <c r="AY893" t="s">
        <v>74</v>
      </c>
      <c r="AZ893" t="s">
        <v>74</v>
      </c>
      <c r="BA893" t="s">
        <v>74</v>
      </c>
      <c r="BB893" t="s">
        <v>74</v>
      </c>
      <c r="BC893" t="s">
        <v>74</v>
      </c>
      <c r="BD893" t="s">
        <v>14646</v>
      </c>
      <c r="BE893" t="s">
        <v>14647</v>
      </c>
      <c r="BF893" t="str">
        <f>HYPERLINK("http://dx.doi.org/10.1029/2007JD008652","http://dx.doi.org/10.1029/2007JD008652")</f>
        <v>http://dx.doi.org/10.1029/2007JD008652</v>
      </c>
      <c r="BG893" t="s">
        <v>74</v>
      </c>
      <c r="BH893" t="s">
        <v>74</v>
      </c>
      <c r="BI893">
        <v>15</v>
      </c>
      <c r="BJ893" t="s">
        <v>204</v>
      </c>
      <c r="BK893" t="s">
        <v>97</v>
      </c>
      <c r="BL893" t="s">
        <v>204</v>
      </c>
      <c r="BM893" t="s">
        <v>14648</v>
      </c>
      <c r="BN893" t="s">
        <v>74</v>
      </c>
      <c r="BO893" t="s">
        <v>179</v>
      </c>
      <c r="BP893" t="s">
        <v>74</v>
      </c>
      <c r="BQ893" t="s">
        <v>74</v>
      </c>
      <c r="BR893" t="s">
        <v>100</v>
      </c>
      <c r="BS893" t="s">
        <v>14649</v>
      </c>
      <c r="BT893" t="str">
        <f>HYPERLINK("https%3A%2F%2Fwww.webofscience.com%2Fwos%2Fwoscc%2Ffull-record%2FWOS:000249685200004","View Full Record in Web of Science")</f>
        <v>View Full Record in Web of Science</v>
      </c>
    </row>
    <row r="894" spans="1:72" x14ac:dyDescent="0.15">
      <c r="A894" t="s">
        <v>72</v>
      </c>
      <c r="B894" t="s">
        <v>14650</v>
      </c>
      <c r="C894" t="s">
        <v>74</v>
      </c>
      <c r="D894" t="s">
        <v>74</v>
      </c>
      <c r="E894" t="s">
        <v>74</v>
      </c>
      <c r="F894" t="s">
        <v>14651</v>
      </c>
      <c r="G894" t="s">
        <v>74</v>
      </c>
      <c r="H894" t="s">
        <v>74</v>
      </c>
      <c r="I894" t="s">
        <v>14652</v>
      </c>
      <c r="J894" t="s">
        <v>255</v>
      </c>
      <c r="K894" t="s">
        <v>74</v>
      </c>
      <c r="L894" t="s">
        <v>74</v>
      </c>
      <c r="M894" t="s">
        <v>78</v>
      </c>
      <c r="N894" t="s">
        <v>79</v>
      </c>
      <c r="O894" t="s">
        <v>74</v>
      </c>
      <c r="P894" t="s">
        <v>74</v>
      </c>
      <c r="Q894" t="s">
        <v>74</v>
      </c>
      <c r="R894" t="s">
        <v>74</v>
      </c>
      <c r="S894" t="s">
        <v>74</v>
      </c>
      <c r="T894" t="s">
        <v>14653</v>
      </c>
      <c r="U894" t="s">
        <v>14654</v>
      </c>
      <c r="V894" t="s">
        <v>14655</v>
      </c>
      <c r="W894" t="s">
        <v>14656</v>
      </c>
      <c r="X894" t="s">
        <v>14657</v>
      </c>
      <c r="Y894" t="s">
        <v>14658</v>
      </c>
      <c r="Z894" t="s">
        <v>14659</v>
      </c>
      <c r="AA894" t="s">
        <v>74</v>
      </c>
      <c r="AB894" t="s">
        <v>14660</v>
      </c>
      <c r="AC894" t="s">
        <v>74</v>
      </c>
      <c r="AD894" t="s">
        <v>74</v>
      </c>
      <c r="AE894" t="s">
        <v>74</v>
      </c>
      <c r="AF894" t="s">
        <v>74</v>
      </c>
      <c r="AG894">
        <v>44</v>
      </c>
      <c r="AH894">
        <v>70</v>
      </c>
      <c r="AI894">
        <v>76</v>
      </c>
      <c r="AJ894">
        <v>1</v>
      </c>
      <c r="AK894">
        <v>56</v>
      </c>
      <c r="AL894" t="s">
        <v>506</v>
      </c>
      <c r="AM894" t="s">
        <v>266</v>
      </c>
      <c r="AN894" t="s">
        <v>507</v>
      </c>
      <c r="AO894" t="s">
        <v>268</v>
      </c>
      <c r="AP894" t="s">
        <v>269</v>
      </c>
      <c r="AQ894" t="s">
        <v>74</v>
      </c>
      <c r="AR894" t="s">
        <v>270</v>
      </c>
      <c r="AS894" t="s">
        <v>271</v>
      </c>
      <c r="AT894" t="s">
        <v>14644</v>
      </c>
      <c r="AU894">
        <v>2007</v>
      </c>
      <c r="AV894">
        <v>383</v>
      </c>
      <c r="AW894" t="s">
        <v>1361</v>
      </c>
      <c r="AX894" t="s">
        <v>74</v>
      </c>
      <c r="AY894" t="s">
        <v>74</v>
      </c>
      <c r="AZ894" t="s">
        <v>74</v>
      </c>
      <c r="BA894" t="s">
        <v>74</v>
      </c>
      <c r="BB894">
        <v>193</v>
      </c>
      <c r="BC894">
        <v>204</v>
      </c>
      <c r="BD894" t="s">
        <v>74</v>
      </c>
      <c r="BE894" t="s">
        <v>14661</v>
      </c>
      <c r="BF894" t="str">
        <f>HYPERLINK("http://dx.doi.org/10.1016/j.scitotenv.2007.04.025","http://dx.doi.org/10.1016/j.scitotenv.2007.04.025")</f>
        <v>http://dx.doi.org/10.1016/j.scitotenv.2007.04.025</v>
      </c>
      <c r="BG894" t="s">
        <v>74</v>
      </c>
      <c r="BH894" t="s">
        <v>74</v>
      </c>
      <c r="BI894">
        <v>12</v>
      </c>
      <c r="BJ894" t="s">
        <v>274</v>
      </c>
      <c r="BK894" t="s">
        <v>97</v>
      </c>
      <c r="BL894" t="s">
        <v>275</v>
      </c>
      <c r="BM894" t="s">
        <v>14662</v>
      </c>
      <c r="BN894">
        <v>17570467</v>
      </c>
      <c r="BO894" t="s">
        <v>74</v>
      </c>
      <c r="BP894" t="s">
        <v>74</v>
      </c>
      <c r="BQ894" t="s">
        <v>74</v>
      </c>
      <c r="BR894" t="s">
        <v>100</v>
      </c>
      <c r="BS894" t="s">
        <v>14663</v>
      </c>
      <c r="BT894" t="str">
        <f>HYPERLINK("https%3A%2F%2Fwww.webofscience.com%2Fwos%2Fwoscc%2Ffull-record%2FWOS:000248881100017","View Full Record in Web of Science")</f>
        <v>View Full Record in Web of Science</v>
      </c>
    </row>
    <row r="895" spans="1:72" x14ac:dyDescent="0.15">
      <c r="A895" t="s">
        <v>72</v>
      </c>
      <c r="B895" t="s">
        <v>14664</v>
      </c>
      <c r="C895" t="s">
        <v>74</v>
      </c>
      <c r="D895" t="s">
        <v>74</v>
      </c>
      <c r="E895" t="s">
        <v>74</v>
      </c>
      <c r="F895" t="s">
        <v>14665</v>
      </c>
      <c r="G895" t="s">
        <v>74</v>
      </c>
      <c r="H895" t="s">
        <v>74</v>
      </c>
      <c r="I895" t="s">
        <v>14666</v>
      </c>
      <c r="J895" t="s">
        <v>233</v>
      </c>
      <c r="K895" t="s">
        <v>74</v>
      </c>
      <c r="L895" t="s">
        <v>74</v>
      </c>
      <c r="M895" t="s">
        <v>78</v>
      </c>
      <c r="N895" t="s">
        <v>79</v>
      </c>
      <c r="O895" t="s">
        <v>74</v>
      </c>
      <c r="P895" t="s">
        <v>74</v>
      </c>
      <c r="Q895" t="s">
        <v>74</v>
      </c>
      <c r="R895" t="s">
        <v>74</v>
      </c>
      <c r="S895" t="s">
        <v>74</v>
      </c>
      <c r="T895" t="s">
        <v>74</v>
      </c>
      <c r="U895" t="s">
        <v>14667</v>
      </c>
      <c r="V895" t="s">
        <v>14668</v>
      </c>
      <c r="W895" t="s">
        <v>14669</v>
      </c>
      <c r="X895" t="s">
        <v>14670</v>
      </c>
      <c r="Y895" t="s">
        <v>14671</v>
      </c>
      <c r="Z895" t="s">
        <v>5425</v>
      </c>
      <c r="AA895" t="s">
        <v>14672</v>
      </c>
      <c r="AB895" t="s">
        <v>14673</v>
      </c>
      <c r="AC895" t="s">
        <v>3298</v>
      </c>
      <c r="AD895" t="s">
        <v>444</v>
      </c>
      <c r="AE895" t="s">
        <v>74</v>
      </c>
      <c r="AF895" t="s">
        <v>74</v>
      </c>
      <c r="AG895">
        <v>21</v>
      </c>
      <c r="AH895">
        <v>28</v>
      </c>
      <c r="AI895">
        <v>30</v>
      </c>
      <c r="AJ895">
        <v>0</v>
      </c>
      <c r="AK895">
        <v>14</v>
      </c>
      <c r="AL895" t="s">
        <v>193</v>
      </c>
      <c r="AM895" t="s">
        <v>194</v>
      </c>
      <c r="AN895" t="s">
        <v>195</v>
      </c>
      <c r="AO895" t="s">
        <v>243</v>
      </c>
      <c r="AP895" t="s">
        <v>326</v>
      </c>
      <c r="AQ895" t="s">
        <v>74</v>
      </c>
      <c r="AR895" t="s">
        <v>244</v>
      </c>
      <c r="AS895" t="s">
        <v>245</v>
      </c>
      <c r="AT895" t="s">
        <v>14674</v>
      </c>
      <c r="AU895">
        <v>2007</v>
      </c>
      <c r="AV895">
        <v>34</v>
      </c>
      <c r="AW895">
        <v>18</v>
      </c>
      <c r="AX895" t="s">
        <v>74</v>
      </c>
      <c r="AY895" t="s">
        <v>74</v>
      </c>
      <c r="AZ895" t="s">
        <v>74</v>
      </c>
      <c r="BA895" t="s">
        <v>74</v>
      </c>
      <c r="BB895" t="s">
        <v>74</v>
      </c>
      <c r="BC895" t="s">
        <v>74</v>
      </c>
      <c r="BD895" t="s">
        <v>14675</v>
      </c>
      <c r="BE895" t="s">
        <v>14676</v>
      </c>
      <c r="BF895" t="str">
        <f>HYPERLINK("http://dx.doi.org/10.1029/2007GL030769","http://dx.doi.org/10.1029/2007GL030769")</f>
        <v>http://dx.doi.org/10.1029/2007GL030769</v>
      </c>
      <c r="BG895" t="s">
        <v>74</v>
      </c>
      <c r="BH895" t="s">
        <v>74</v>
      </c>
      <c r="BI895">
        <v>5</v>
      </c>
      <c r="BJ895" t="s">
        <v>96</v>
      </c>
      <c r="BK895" t="s">
        <v>97</v>
      </c>
      <c r="BL895" t="s">
        <v>98</v>
      </c>
      <c r="BM895" t="s">
        <v>14677</v>
      </c>
      <c r="BN895" t="s">
        <v>74</v>
      </c>
      <c r="BO895" t="s">
        <v>74</v>
      </c>
      <c r="BP895" t="s">
        <v>74</v>
      </c>
      <c r="BQ895" t="s">
        <v>74</v>
      </c>
      <c r="BR895" t="s">
        <v>100</v>
      </c>
      <c r="BS895" t="s">
        <v>14678</v>
      </c>
      <c r="BT895" t="str">
        <f>HYPERLINK("https%3A%2F%2Fwww.webofscience.com%2Fwos%2Fwoscc%2Ffull-record%2FWOS:000249683500003","View Full Record in Web of Science")</f>
        <v>View Full Record in Web of Science</v>
      </c>
    </row>
    <row r="896" spans="1:72" x14ac:dyDescent="0.15">
      <c r="A896" t="s">
        <v>72</v>
      </c>
      <c r="B896" t="s">
        <v>14679</v>
      </c>
      <c r="C896" t="s">
        <v>74</v>
      </c>
      <c r="D896" t="s">
        <v>74</v>
      </c>
      <c r="E896" t="s">
        <v>74</v>
      </c>
      <c r="F896" t="s">
        <v>14680</v>
      </c>
      <c r="G896" t="s">
        <v>74</v>
      </c>
      <c r="H896" t="s">
        <v>74</v>
      </c>
      <c r="I896" t="s">
        <v>14681</v>
      </c>
      <c r="J896" t="s">
        <v>730</v>
      </c>
      <c r="K896" t="s">
        <v>74</v>
      </c>
      <c r="L896" t="s">
        <v>74</v>
      </c>
      <c r="M896" t="s">
        <v>78</v>
      </c>
      <c r="N896" t="s">
        <v>79</v>
      </c>
      <c r="O896" t="s">
        <v>74</v>
      </c>
      <c r="P896" t="s">
        <v>74</v>
      </c>
      <c r="Q896" t="s">
        <v>74</v>
      </c>
      <c r="R896" t="s">
        <v>74</v>
      </c>
      <c r="S896" t="s">
        <v>74</v>
      </c>
      <c r="T896" t="s">
        <v>74</v>
      </c>
      <c r="U896" t="s">
        <v>14682</v>
      </c>
      <c r="V896" t="s">
        <v>14683</v>
      </c>
      <c r="W896" t="s">
        <v>14684</v>
      </c>
      <c r="X896" t="s">
        <v>14685</v>
      </c>
      <c r="Y896" t="s">
        <v>14686</v>
      </c>
      <c r="Z896" t="s">
        <v>14687</v>
      </c>
      <c r="AA896" t="s">
        <v>14688</v>
      </c>
      <c r="AB896" t="s">
        <v>14689</v>
      </c>
      <c r="AC896" t="s">
        <v>74</v>
      </c>
      <c r="AD896" t="s">
        <v>74</v>
      </c>
      <c r="AE896" t="s">
        <v>74</v>
      </c>
      <c r="AF896" t="s">
        <v>74</v>
      </c>
      <c r="AG896">
        <v>60</v>
      </c>
      <c r="AH896">
        <v>23</v>
      </c>
      <c r="AI896">
        <v>24</v>
      </c>
      <c r="AJ896">
        <v>1</v>
      </c>
      <c r="AK896">
        <v>9</v>
      </c>
      <c r="AL896" t="s">
        <v>193</v>
      </c>
      <c r="AM896" t="s">
        <v>194</v>
      </c>
      <c r="AN896" t="s">
        <v>195</v>
      </c>
      <c r="AO896" t="s">
        <v>739</v>
      </c>
      <c r="AP896" t="s">
        <v>740</v>
      </c>
      <c r="AQ896" t="s">
        <v>74</v>
      </c>
      <c r="AR896" t="s">
        <v>741</v>
      </c>
      <c r="AS896" t="s">
        <v>742</v>
      </c>
      <c r="AT896" t="s">
        <v>14674</v>
      </c>
      <c r="AU896">
        <v>2007</v>
      </c>
      <c r="AV896">
        <v>112</v>
      </c>
      <c r="AW896" t="s">
        <v>14532</v>
      </c>
      <c r="AX896" t="s">
        <v>74</v>
      </c>
      <c r="AY896" t="s">
        <v>74</v>
      </c>
      <c r="AZ896" t="s">
        <v>74</v>
      </c>
      <c r="BA896" t="s">
        <v>74</v>
      </c>
      <c r="BB896" t="s">
        <v>74</v>
      </c>
      <c r="BC896" t="s">
        <v>74</v>
      </c>
      <c r="BD896" t="s">
        <v>14690</v>
      </c>
      <c r="BE896" t="s">
        <v>14691</v>
      </c>
      <c r="BF896" t="str">
        <f>HYPERLINK("http://dx.doi.org/10.1029/2005JB004212","http://dx.doi.org/10.1029/2005JB004212")</f>
        <v>http://dx.doi.org/10.1029/2005JB004212</v>
      </c>
      <c r="BG896" t="s">
        <v>74</v>
      </c>
      <c r="BH896" t="s">
        <v>74</v>
      </c>
      <c r="BI896">
        <v>16</v>
      </c>
      <c r="BJ896" t="s">
        <v>553</v>
      </c>
      <c r="BK896" t="s">
        <v>97</v>
      </c>
      <c r="BL896" t="s">
        <v>553</v>
      </c>
      <c r="BM896" t="s">
        <v>14692</v>
      </c>
      <c r="BN896" t="s">
        <v>74</v>
      </c>
      <c r="BO896" t="s">
        <v>1050</v>
      </c>
      <c r="BP896" t="s">
        <v>74</v>
      </c>
      <c r="BQ896" t="s">
        <v>74</v>
      </c>
      <c r="BR896" t="s">
        <v>100</v>
      </c>
      <c r="BS896" t="s">
        <v>14693</v>
      </c>
      <c r="BT896" t="str">
        <f>HYPERLINK("https%3A%2F%2Fwww.webofscience.com%2Fwos%2Fwoscc%2Ffull-record%2FWOS:000249689400001","View Full Record in Web of Science")</f>
        <v>View Full Record in Web of Science</v>
      </c>
    </row>
    <row r="897" spans="1:72" x14ac:dyDescent="0.15">
      <c r="A897" t="s">
        <v>72</v>
      </c>
      <c r="B897" t="s">
        <v>14694</v>
      </c>
      <c r="C897" t="s">
        <v>74</v>
      </c>
      <c r="D897" t="s">
        <v>74</v>
      </c>
      <c r="E897" t="s">
        <v>74</v>
      </c>
      <c r="F897" t="s">
        <v>14695</v>
      </c>
      <c r="G897" t="s">
        <v>74</v>
      </c>
      <c r="H897" t="s">
        <v>74</v>
      </c>
      <c r="I897" t="s">
        <v>14696</v>
      </c>
      <c r="J897" t="s">
        <v>333</v>
      </c>
      <c r="K897" t="s">
        <v>74</v>
      </c>
      <c r="L897" t="s">
        <v>74</v>
      </c>
      <c r="M897" t="s">
        <v>78</v>
      </c>
      <c r="N897" t="s">
        <v>79</v>
      </c>
      <c r="O897" t="s">
        <v>74</v>
      </c>
      <c r="P897" t="s">
        <v>74</v>
      </c>
      <c r="Q897" t="s">
        <v>74</v>
      </c>
      <c r="R897" t="s">
        <v>74</v>
      </c>
      <c r="S897" t="s">
        <v>74</v>
      </c>
      <c r="T897" t="s">
        <v>74</v>
      </c>
      <c r="U897" t="s">
        <v>14697</v>
      </c>
      <c r="V897" t="s">
        <v>14698</v>
      </c>
      <c r="W897" t="s">
        <v>14699</v>
      </c>
      <c r="X897" t="s">
        <v>14700</v>
      </c>
      <c r="Y897" t="s">
        <v>14701</v>
      </c>
      <c r="Z897" t="s">
        <v>14702</v>
      </c>
      <c r="AA897" t="s">
        <v>14703</v>
      </c>
      <c r="AB897" t="s">
        <v>14704</v>
      </c>
      <c r="AC897" t="s">
        <v>394</v>
      </c>
      <c r="AD897" t="s">
        <v>242</v>
      </c>
      <c r="AE897" t="s">
        <v>74</v>
      </c>
      <c r="AF897" t="s">
        <v>74</v>
      </c>
      <c r="AG897">
        <v>37</v>
      </c>
      <c r="AH897">
        <v>27</v>
      </c>
      <c r="AI897">
        <v>29</v>
      </c>
      <c r="AJ897">
        <v>0</v>
      </c>
      <c r="AK897">
        <v>4</v>
      </c>
      <c r="AL897" t="s">
        <v>193</v>
      </c>
      <c r="AM897" t="s">
        <v>194</v>
      </c>
      <c r="AN897" t="s">
        <v>195</v>
      </c>
      <c r="AO897" t="s">
        <v>344</v>
      </c>
      <c r="AP897" t="s">
        <v>345</v>
      </c>
      <c r="AQ897" t="s">
        <v>74</v>
      </c>
      <c r="AR897" t="s">
        <v>346</v>
      </c>
      <c r="AS897" t="s">
        <v>347</v>
      </c>
      <c r="AT897" t="s">
        <v>14705</v>
      </c>
      <c r="AU897">
        <v>2007</v>
      </c>
      <c r="AV897">
        <v>112</v>
      </c>
      <c r="AW897" t="s">
        <v>14563</v>
      </c>
      <c r="AX897" t="s">
        <v>74</v>
      </c>
      <c r="AY897" t="s">
        <v>74</v>
      </c>
      <c r="AZ897" t="s">
        <v>74</v>
      </c>
      <c r="BA897" t="s">
        <v>74</v>
      </c>
      <c r="BB897" t="s">
        <v>74</v>
      </c>
      <c r="BC897" t="s">
        <v>74</v>
      </c>
      <c r="BD897" t="s">
        <v>14706</v>
      </c>
      <c r="BE897" t="s">
        <v>14707</v>
      </c>
      <c r="BF897" t="str">
        <f>HYPERLINK("http://dx.doi.org/10.1029/2007JA012388","http://dx.doi.org/10.1029/2007JA012388")</f>
        <v>http://dx.doi.org/10.1029/2007JA012388</v>
      </c>
      <c r="BG897" t="s">
        <v>74</v>
      </c>
      <c r="BH897" t="s">
        <v>74</v>
      </c>
      <c r="BI897">
        <v>10</v>
      </c>
      <c r="BJ897" t="s">
        <v>351</v>
      </c>
      <c r="BK897" t="s">
        <v>97</v>
      </c>
      <c r="BL897" t="s">
        <v>351</v>
      </c>
      <c r="BM897" t="s">
        <v>14708</v>
      </c>
      <c r="BN897" t="s">
        <v>74</v>
      </c>
      <c r="BO897" t="s">
        <v>592</v>
      </c>
      <c r="BP897" t="s">
        <v>74</v>
      </c>
      <c r="BQ897" t="s">
        <v>74</v>
      </c>
      <c r="BR897" t="s">
        <v>100</v>
      </c>
      <c r="BS897" t="s">
        <v>14709</v>
      </c>
      <c r="BT897" t="str">
        <f>HYPERLINK("https%3A%2F%2Fwww.webofscience.com%2Fwos%2Fwoscc%2Ffull-record%2FWOS:000249689900004","View Full Record in Web of Science")</f>
        <v>View Full Record in Web of Science</v>
      </c>
    </row>
    <row r="898" spans="1:72" x14ac:dyDescent="0.15">
      <c r="A898" t="s">
        <v>72</v>
      </c>
      <c r="B898" t="s">
        <v>14710</v>
      </c>
      <c r="C898" t="s">
        <v>74</v>
      </c>
      <c r="D898" t="s">
        <v>74</v>
      </c>
      <c r="E898" t="s">
        <v>74</v>
      </c>
      <c r="F898" t="s">
        <v>14711</v>
      </c>
      <c r="G898" t="s">
        <v>74</v>
      </c>
      <c r="H898" t="s">
        <v>74</v>
      </c>
      <c r="I898" t="s">
        <v>14712</v>
      </c>
      <c r="J898" t="s">
        <v>537</v>
      </c>
      <c r="K898" t="s">
        <v>74</v>
      </c>
      <c r="L898" t="s">
        <v>74</v>
      </c>
      <c r="M898" t="s">
        <v>78</v>
      </c>
      <c r="N898" t="s">
        <v>79</v>
      </c>
      <c r="O898" t="s">
        <v>74</v>
      </c>
      <c r="P898" t="s">
        <v>74</v>
      </c>
      <c r="Q898" t="s">
        <v>74</v>
      </c>
      <c r="R898" t="s">
        <v>74</v>
      </c>
      <c r="S898" t="s">
        <v>74</v>
      </c>
      <c r="T898" t="s">
        <v>14713</v>
      </c>
      <c r="U898" t="s">
        <v>14714</v>
      </c>
      <c r="V898" t="s">
        <v>14715</v>
      </c>
      <c r="W898" t="s">
        <v>14716</v>
      </c>
      <c r="X898" t="s">
        <v>8376</v>
      </c>
      <c r="Y898" t="s">
        <v>14717</v>
      </c>
      <c r="Z898" t="s">
        <v>14718</v>
      </c>
      <c r="AA898" t="s">
        <v>14719</v>
      </c>
      <c r="AB898" t="s">
        <v>14720</v>
      </c>
      <c r="AC898" t="s">
        <v>74</v>
      </c>
      <c r="AD898" t="s">
        <v>74</v>
      </c>
      <c r="AE898" t="s">
        <v>74</v>
      </c>
      <c r="AF898" t="s">
        <v>74</v>
      </c>
      <c r="AG898">
        <v>38</v>
      </c>
      <c r="AH898">
        <v>104</v>
      </c>
      <c r="AI898">
        <v>114</v>
      </c>
      <c r="AJ898">
        <v>0</v>
      </c>
      <c r="AK898">
        <v>6</v>
      </c>
      <c r="AL898" t="s">
        <v>265</v>
      </c>
      <c r="AM898" t="s">
        <v>266</v>
      </c>
      <c r="AN898" t="s">
        <v>267</v>
      </c>
      <c r="AO898" t="s">
        <v>547</v>
      </c>
      <c r="AP898" t="s">
        <v>548</v>
      </c>
      <c r="AQ898" t="s">
        <v>74</v>
      </c>
      <c r="AR898" t="s">
        <v>549</v>
      </c>
      <c r="AS898" t="s">
        <v>550</v>
      </c>
      <c r="AT898" t="s">
        <v>14721</v>
      </c>
      <c r="AU898">
        <v>2007</v>
      </c>
      <c r="AV898">
        <v>261</v>
      </c>
      <c r="AW898" t="s">
        <v>551</v>
      </c>
      <c r="AX898" t="s">
        <v>74</v>
      </c>
      <c r="AY898" t="s">
        <v>74</v>
      </c>
      <c r="AZ898" t="s">
        <v>74</v>
      </c>
      <c r="BA898" t="s">
        <v>74</v>
      </c>
      <c r="BB898">
        <v>152</v>
      </c>
      <c r="BC898">
        <v>163</v>
      </c>
      <c r="BD898" t="s">
        <v>74</v>
      </c>
      <c r="BE898" t="s">
        <v>14722</v>
      </c>
      <c r="BF898" t="str">
        <f>HYPERLINK("http://dx.doi.org/10.1016/j.epsl.2007.06.023","http://dx.doi.org/10.1016/j.epsl.2007.06.023")</f>
        <v>http://dx.doi.org/10.1016/j.epsl.2007.06.023</v>
      </c>
      <c r="BG898" t="s">
        <v>74</v>
      </c>
      <c r="BH898" t="s">
        <v>74</v>
      </c>
      <c r="BI898">
        <v>12</v>
      </c>
      <c r="BJ898" t="s">
        <v>553</v>
      </c>
      <c r="BK898" t="s">
        <v>97</v>
      </c>
      <c r="BL898" t="s">
        <v>553</v>
      </c>
      <c r="BM898" t="s">
        <v>14723</v>
      </c>
      <c r="BN898" t="s">
        <v>74</v>
      </c>
      <c r="BO898" t="s">
        <v>74</v>
      </c>
      <c r="BP898" t="s">
        <v>74</v>
      </c>
      <c r="BQ898" t="s">
        <v>74</v>
      </c>
      <c r="BR898" t="s">
        <v>100</v>
      </c>
      <c r="BS898" t="s">
        <v>14724</v>
      </c>
      <c r="BT898" t="str">
        <f>HYPERLINK("https%3A%2F%2Fwww.webofscience.com%2Fwos%2Fwoscc%2Ffull-record%2FWOS:000250042500013","View Full Record in Web of Science")</f>
        <v>View Full Record in Web of Science</v>
      </c>
    </row>
    <row r="899" spans="1:72" x14ac:dyDescent="0.15">
      <c r="A899" t="s">
        <v>72</v>
      </c>
      <c r="B899" t="s">
        <v>14725</v>
      </c>
      <c r="C899" t="s">
        <v>74</v>
      </c>
      <c r="D899" t="s">
        <v>74</v>
      </c>
      <c r="E899" t="s">
        <v>74</v>
      </c>
      <c r="F899" t="s">
        <v>14726</v>
      </c>
      <c r="G899" t="s">
        <v>74</v>
      </c>
      <c r="H899" t="s">
        <v>74</v>
      </c>
      <c r="I899" t="s">
        <v>14727</v>
      </c>
      <c r="J899" t="s">
        <v>233</v>
      </c>
      <c r="K899" t="s">
        <v>74</v>
      </c>
      <c r="L899" t="s">
        <v>74</v>
      </c>
      <c r="M899" t="s">
        <v>78</v>
      </c>
      <c r="N899" t="s">
        <v>79</v>
      </c>
      <c r="O899" t="s">
        <v>74</v>
      </c>
      <c r="P899" t="s">
        <v>74</v>
      </c>
      <c r="Q899" t="s">
        <v>74</v>
      </c>
      <c r="R899" t="s">
        <v>74</v>
      </c>
      <c r="S899" t="s">
        <v>74</v>
      </c>
      <c r="T899" t="s">
        <v>74</v>
      </c>
      <c r="U899" t="s">
        <v>14728</v>
      </c>
      <c r="V899" t="s">
        <v>14729</v>
      </c>
      <c r="W899" t="s">
        <v>14730</v>
      </c>
      <c r="X899" t="s">
        <v>14731</v>
      </c>
      <c r="Y899" t="s">
        <v>14732</v>
      </c>
      <c r="Z899" t="s">
        <v>14733</v>
      </c>
      <c r="AA899" t="s">
        <v>14734</v>
      </c>
      <c r="AB899" t="s">
        <v>14735</v>
      </c>
      <c r="AC899" t="s">
        <v>1636</v>
      </c>
      <c r="AD899" t="s">
        <v>444</v>
      </c>
      <c r="AE899" t="s">
        <v>74</v>
      </c>
      <c r="AF899" t="s">
        <v>74</v>
      </c>
      <c r="AG899">
        <v>31</v>
      </c>
      <c r="AH899">
        <v>337</v>
      </c>
      <c r="AI899">
        <v>355</v>
      </c>
      <c r="AJ899">
        <v>1</v>
      </c>
      <c r="AK899">
        <v>20</v>
      </c>
      <c r="AL899" t="s">
        <v>193</v>
      </c>
      <c r="AM899" t="s">
        <v>194</v>
      </c>
      <c r="AN899" t="s">
        <v>195</v>
      </c>
      <c r="AO899" t="s">
        <v>243</v>
      </c>
      <c r="AP899" t="s">
        <v>326</v>
      </c>
      <c r="AQ899" t="s">
        <v>74</v>
      </c>
      <c r="AR899" t="s">
        <v>244</v>
      </c>
      <c r="AS899" t="s">
        <v>245</v>
      </c>
      <c r="AT899" t="s">
        <v>14721</v>
      </c>
      <c r="AU899">
        <v>2007</v>
      </c>
      <c r="AV899">
        <v>34</v>
      </c>
      <c r="AW899">
        <v>17</v>
      </c>
      <c r="AX899" t="s">
        <v>74</v>
      </c>
      <c r="AY899" t="s">
        <v>74</v>
      </c>
      <c r="AZ899" t="s">
        <v>74</v>
      </c>
      <c r="BA899" t="s">
        <v>74</v>
      </c>
      <c r="BB899" t="s">
        <v>74</v>
      </c>
      <c r="BC899" t="s">
        <v>74</v>
      </c>
      <c r="BD899" t="s">
        <v>14736</v>
      </c>
      <c r="BE899" t="s">
        <v>14737</v>
      </c>
      <c r="BF899" t="str">
        <f>HYPERLINK("http://dx.doi.org/10.1029/2007GL030267","http://dx.doi.org/10.1029/2007GL030267")</f>
        <v>http://dx.doi.org/10.1029/2007GL030267</v>
      </c>
      <c r="BG899" t="s">
        <v>74</v>
      </c>
      <c r="BH899" t="s">
        <v>74</v>
      </c>
      <c r="BI899">
        <v>5</v>
      </c>
      <c r="BJ899" t="s">
        <v>96</v>
      </c>
      <c r="BK899" t="s">
        <v>97</v>
      </c>
      <c r="BL899" t="s">
        <v>98</v>
      </c>
      <c r="BM899" t="s">
        <v>14738</v>
      </c>
      <c r="BN899" t="s">
        <v>74</v>
      </c>
      <c r="BO899" t="s">
        <v>592</v>
      </c>
      <c r="BP899" t="s">
        <v>74</v>
      </c>
      <c r="BQ899" t="s">
        <v>74</v>
      </c>
      <c r="BR899" t="s">
        <v>100</v>
      </c>
      <c r="BS899" t="s">
        <v>14739</v>
      </c>
      <c r="BT899" t="str">
        <f>HYPERLINK("https%3A%2F%2Fwww.webofscience.com%2Fwos%2Fwoscc%2Ffull-record%2FWOS:000249518300001","View Full Record in Web of Science")</f>
        <v>View Full Record in Web of Science</v>
      </c>
    </row>
    <row r="900" spans="1:72" x14ac:dyDescent="0.15">
      <c r="A900" t="s">
        <v>72</v>
      </c>
      <c r="B900" t="s">
        <v>14740</v>
      </c>
      <c r="C900" t="s">
        <v>74</v>
      </c>
      <c r="D900" t="s">
        <v>74</v>
      </c>
      <c r="E900" t="s">
        <v>74</v>
      </c>
      <c r="F900" t="s">
        <v>14741</v>
      </c>
      <c r="G900" t="s">
        <v>74</v>
      </c>
      <c r="H900" t="s">
        <v>74</v>
      </c>
      <c r="I900" t="s">
        <v>14742</v>
      </c>
      <c r="J900" t="s">
        <v>14743</v>
      </c>
      <c r="K900" t="s">
        <v>74</v>
      </c>
      <c r="L900" t="s">
        <v>74</v>
      </c>
      <c r="M900" t="s">
        <v>78</v>
      </c>
      <c r="N900" t="s">
        <v>2552</v>
      </c>
      <c r="O900" t="s">
        <v>74</v>
      </c>
      <c r="P900" t="s">
        <v>74</v>
      </c>
      <c r="Q900" t="s">
        <v>74</v>
      </c>
      <c r="R900" t="s">
        <v>74</v>
      </c>
      <c r="S900" t="s">
        <v>74</v>
      </c>
      <c r="T900" t="s">
        <v>74</v>
      </c>
      <c r="U900" t="s">
        <v>74</v>
      </c>
      <c r="V900" t="s">
        <v>74</v>
      </c>
      <c r="W900" t="s">
        <v>14744</v>
      </c>
      <c r="X900" t="s">
        <v>74</v>
      </c>
      <c r="Y900" t="s">
        <v>14745</v>
      </c>
      <c r="Z900" t="s">
        <v>74</v>
      </c>
      <c r="AA900" t="s">
        <v>74</v>
      </c>
      <c r="AB900" t="s">
        <v>74</v>
      </c>
      <c r="AC900" t="s">
        <v>74</v>
      </c>
      <c r="AD900" t="s">
        <v>74</v>
      </c>
      <c r="AE900" t="s">
        <v>74</v>
      </c>
      <c r="AF900" t="s">
        <v>74</v>
      </c>
      <c r="AG900">
        <v>1</v>
      </c>
      <c r="AH900">
        <v>0</v>
      </c>
      <c r="AI900">
        <v>0</v>
      </c>
      <c r="AJ900">
        <v>0</v>
      </c>
      <c r="AK900">
        <v>0</v>
      </c>
      <c r="AL900" t="s">
        <v>14746</v>
      </c>
      <c r="AM900" t="s">
        <v>662</v>
      </c>
      <c r="AN900" t="s">
        <v>14747</v>
      </c>
      <c r="AO900" t="s">
        <v>14748</v>
      </c>
      <c r="AP900" t="s">
        <v>74</v>
      </c>
      <c r="AQ900" t="s">
        <v>74</v>
      </c>
      <c r="AR900" t="s">
        <v>14749</v>
      </c>
      <c r="AS900" t="s">
        <v>14750</v>
      </c>
      <c r="AT900" t="s">
        <v>14721</v>
      </c>
      <c r="AU900">
        <v>2007</v>
      </c>
      <c r="AV900">
        <v>132</v>
      </c>
      <c r="AW900">
        <v>15</v>
      </c>
      <c r="AX900" t="s">
        <v>74</v>
      </c>
      <c r="AY900" t="s">
        <v>74</v>
      </c>
      <c r="AZ900" t="s">
        <v>74</v>
      </c>
      <c r="BA900" t="s">
        <v>74</v>
      </c>
      <c r="BB900">
        <v>81</v>
      </c>
      <c r="BC900">
        <v>82</v>
      </c>
      <c r="BD900" t="s">
        <v>74</v>
      </c>
      <c r="BE900" t="s">
        <v>74</v>
      </c>
      <c r="BF900" t="s">
        <v>74</v>
      </c>
      <c r="BG900" t="s">
        <v>74</v>
      </c>
      <c r="BH900" t="s">
        <v>74</v>
      </c>
      <c r="BI900">
        <v>2</v>
      </c>
      <c r="BJ900" t="s">
        <v>14751</v>
      </c>
      <c r="BK900" t="s">
        <v>2526</v>
      </c>
      <c r="BL900" t="s">
        <v>14751</v>
      </c>
      <c r="BM900" t="s">
        <v>14752</v>
      </c>
      <c r="BN900" t="s">
        <v>74</v>
      </c>
      <c r="BO900" t="s">
        <v>74</v>
      </c>
      <c r="BP900" t="s">
        <v>74</v>
      </c>
      <c r="BQ900" t="s">
        <v>74</v>
      </c>
      <c r="BR900" t="s">
        <v>100</v>
      </c>
      <c r="BS900" t="s">
        <v>14753</v>
      </c>
      <c r="BT900" t="str">
        <f>HYPERLINK("https%3A%2F%2Fwww.webofscience.com%2Fwos%2Fwoscc%2Ffull-record%2FWOS:000249717600220","View Full Record in Web of Science")</f>
        <v>View Full Record in Web of Science</v>
      </c>
    </row>
    <row r="901" spans="1:72" x14ac:dyDescent="0.15">
      <c r="A901" t="s">
        <v>72</v>
      </c>
      <c r="B901" t="s">
        <v>14754</v>
      </c>
      <c r="C901" t="s">
        <v>74</v>
      </c>
      <c r="D901" t="s">
        <v>74</v>
      </c>
      <c r="E901" t="s">
        <v>74</v>
      </c>
      <c r="F901" t="s">
        <v>14755</v>
      </c>
      <c r="G901" t="s">
        <v>74</v>
      </c>
      <c r="H901" t="s">
        <v>74</v>
      </c>
      <c r="I901" t="s">
        <v>14756</v>
      </c>
      <c r="J901" t="s">
        <v>14757</v>
      </c>
      <c r="K901" t="s">
        <v>74</v>
      </c>
      <c r="L901" t="s">
        <v>74</v>
      </c>
      <c r="M901" t="s">
        <v>78</v>
      </c>
      <c r="N901" t="s">
        <v>79</v>
      </c>
      <c r="O901" t="s">
        <v>74</v>
      </c>
      <c r="P901" t="s">
        <v>74</v>
      </c>
      <c r="Q901" t="s">
        <v>74</v>
      </c>
      <c r="R901" t="s">
        <v>74</v>
      </c>
      <c r="S901" t="s">
        <v>74</v>
      </c>
      <c r="T901" t="s">
        <v>14758</v>
      </c>
      <c r="U901" t="s">
        <v>14759</v>
      </c>
      <c r="V901" t="s">
        <v>14760</v>
      </c>
      <c r="W901" t="s">
        <v>14761</v>
      </c>
      <c r="X901" t="s">
        <v>4724</v>
      </c>
      <c r="Y901" t="s">
        <v>14762</v>
      </c>
      <c r="Z901" t="s">
        <v>14763</v>
      </c>
      <c r="AA901" t="s">
        <v>14764</v>
      </c>
      <c r="AB901" t="s">
        <v>74</v>
      </c>
      <c r="AC901" t="s">
        <v>74</v>
      </c>
      <c r="AD901" t="s">
        <v>74</v>
      </c>
      <c r="AE901" t="s">
        <v>74</v>
      </c>
      <c r="AF901" t="s">
        <v>74</v>
      </c>
      <c r="AG901">
        <v>32</v>
      </c>
      <c r="AH901">
        <v>31</v>
      </c>
      <c r="AI901">
        <v>33</v>
      </c>
      <c r="AJ901">
        <v>2</v>
      </c>
      <c r="AK901">
        <v>25</v>
      </c>
      <c r="AL901" t="s">
        <v>265</v>
      </c>
      <c r="AM901" t="s">
        <v>266</v>
      </c>
      <c r="AN901" t="s">
        <v>267</v>
      </c>
      <c r="AO901" t="s">
        <v>14765</v>
      </c>
      <c r="AP901" t="s">
        <v>14766</v>
      </c>
      <c r="AQ901" t="s">
        <v>74</v>
      </c>
      <c r="AR901" t="s">
        <v>14757</v>
      </c>
      <c r="AS901" t="s">
        <v>14767</v>
      </c>
      <c r="AT901" t="s">
        <v>14768</v>
      </c>
      <c r="AU901">
        <v>2007</v>
      </c>
      <c r="AV901">
        <v>269</v>
      </c>
      <c r="AW901" t="s">
        <v>150</v>
      </c>
      <c r="AX901" t="s">
        <v>74</v>
      </c>
      <c r="AY901" t="s">
        <v>74</v>
      </c>
      <c r="AZ901" t="s">
        <v>74</v>
      </c>
      <c r="BA901" t="s">
        <v>74</v>
      </c>
      <c r="BB901">
        <v>456</v>
      </c>
      <c r="BC901">
        <v>463</v>
      </c>
      <c r="BD901" t="s">
        <v>74</v>
      </c>
      <c r="BE901" t="s">
        <v>14769</v>
      </c>
      <c r="BF901" t="str">
        <f>HYPERLINK("http://dx.doi.org/10.1016/j.aquaculture.2007.05.013","http://dx.doi.org/10.1016/j.aquaculture.2007.05.013")</f>
        <v>http://dx.doi.org/10.1016/j.aquaculture.2007.05.013</v>
      </c>
      <c r="BG901" t="s">
        <v>74</v>
      </c>
      <c r="BH901" t="s">
        <v>74</v>
      </c>
      <c r="BI901">
        <v>8</v>
      </c>
      <c r="BJ901" t="s">
        <v>5346</v>
      </c>
      <c r="BK901" t="s">
        <v>97</v>
      </c>
      <c r="BL901" t="s">
        <v>5346</v>
      </c>
      <c r="BM901" t="s">
        <v>14770</v>
      </c>
      <c r="BN901" t="s">
        <v>74</v>
      </c>
      <c r="BO901" t="s">
        <v>74</v>
      </c>
      <c r="BP901" t="s">
        <v>74</v>
      </c>
      <c r="BQ901" t="s">
        <v>74</v>
      </c>
      <c r="BR901" t="s">
        <v>100</v>
      </c>
      <c r="BS901" t="s">
        <v>14771</v>
      </c>
      <c r="BT901" t="str">
        <f>HYPERLINK("https%3A%2F%2Fwww.webofscience.com%2Fwos%2Fwoscc%2Ffull-record%2FWOS:000249143600045","View Full Record in Web of Science")</f>
        <v>View Full Record in Web of Science</v>
      </c>
    </row>
    <row r="902" spans="1:72" x14ac:dyDescent="0.15">
      <c r="A902" t="s">
        <v>72</v>
      </c>
      <c r="B902" t="s">
        <v>14772</v>
      </c>
      <c r="C902" t="s">
        <v>74</v>
      </c>
      <c r="D902" t="s">
        <v>74</v>
      </c>
      <c r="E902" t="s">
        <v>74</v>
      </c>
      <c r="F902" t="s">
        <v>14773</v>
      </c>
      <c r="G902" t="s">
        <v>74</v>
      </c>
      <c r="H902" t="s">
        <v>74</v>
      </c>
      <c r="I902" t="s">
        <v>14774</v>
      </c>
      <c r="J902" t="s">
        <v>14757</v>
      </c>
      <c r="K902" t="s">
        <v>74</v>
      </c>
      <c r="L902" t="s">
        <v>74</v>
      </c>
      <c r="M902" t="s">
        <v>78</v>
      </c>
      <c r="N902" t="s">
        <v>79</v>
      </c>
      <c r="O902" t="s">
        <v>74</v>
      </c>
      <c r="P902" t="s">
        <v>74</v>
      </c>
      <c r="Q902" t="s">
        <v>74</v>
      </c>
      <c r="R902" t="s">
        <v>74</v>
      </c>
      <c r="S902" t="s">
        <v>74</v>
      </c>
      <c r="T902" t="s">
        <v>14775</v>
      </c>
      <c r="U902" t="s">
        <v>14776</v>
      </c>
      <c r="V902" t="s">
        <v>14777</v>
      </c>
      <c r="W902" t="s">
        <v>14778</v>
      </c>
      <c r="X902" t="s">
        <v>14779</v>
      </c>
      <c r="Y902" t="s">
        <v>14780</v>
      </c>
      <c r="Z902" t="s">
        <v>14781</v>
      </c>
      <c r="AA902" t="s">
        <v>14782</v>
      </c>
      <c r="AB902" t="s">
        <v>14783</v>
      </c>
      <c r="AC902" t="s">
        <v>74</v>
      </c>
      <c r="AD902" t="s">
        <v>74</v>
      </c>
      <c r="AE902" t="s">
        <v>74</v>
      </c>
      <c r="AF902" t="s">
        <v>74</v>
      </c>
      <c r="AG902">
        <v>26</v>
      </c>
      <c r="AH902">
        <v>41</v>
      </c>
      <c r="AI902">
        <v>57</v>
      </c>
      <c r="AJ902">
        <v>1</v>
      </c>
      <c r="AK902">
        <v>51</v>
      </c>
      <c r="AL902" t="s">
        <v>506</v>
      </c>
      <c r="AM902" t="s">
        <v>266</v>
      </c>
      <c r="AN902" t="s">
        <v>507</v>
      </c>
      <c r="AO902" t="s">
        <v>14765</v>
      </c>
      <c r="AP902" t="s">
        <v>74</v>
      </c>
      <c r="AQ902" t="s">
        <v>74</v>
      </c>
      <c r="AR902" t="s">
        <v>14757</v>
      </c>
      <c r="AS902" t="s">
        <v>14767</v>
      </c>
      <c r="AT902" t="s">
        <v>14768</v>
      </c>
      <c r="AU902">
        <v>2007</v>
      </c>
      <c r="AV902">
        <v>269</v>
      </c>
      <c r="AW902" t="s">
        <v>150</v>
      </c>
      <c r="AX902" t="s">
        <v>74</v>
      </c>
      <c r="AY902" t="s">
        <v>74</v>
      </c>
      <c r="AZ902" t="s">
        <v>74</v>
      </c>
      <c r="BA902" t="s">
        <v>74</v>
      </c>
      <c r="BB902">
        <v>525</v>
      </c>
      <c r="BC902">
        <v>531</v>
      </c>
      <c r="BD902" t="s">
        <v>74</v>
      </c>
      <c r="BE902" t="s">
        <v>14784</v>
      </c>
      <c r="BF902" t="str">
        <f>HYPERLINK("http://dx.doi.org/10.1016/j.aquaculture.2007.04.059","http://dx.doi.org/10.1016/j.aquaculture.2007.04.059")</f>
        <v>http://dx.doi.org/10.1016/j.aquaculture.2007.04.059</v>
      </c>
      <c r="BG902" t="s">
        <v>74</v>
      </c>
      <c r="BH902" t="s">
        <v>74</v>
      </c>
      <c r="BI902">
        <v>7</v>
      </c>
      <c r="BJ902" t="s">
        <v>5346</v>
      </c>
      <c r="BK902" t="s">
        <v>97</v>
      </c>
      <c r="BL902" t="s">
        <v>5346</v>
      </c>
      <c r="BM902" t="s">
        <v>14770</v>
      </c>
      <c r="BN902" t="s">
        <v>74</v>
      </c>
      <c r="BO902" t="s">
        <v>74</v>
      </c>
      <c r="BP902" t="s">
        <v>74</v>
      </c>
      <c r="BQ902" t="s">
        <v>74</v>
      </c>
      <c r="BR902" t="s">
        <v>100</v>
      </c>
      <c r="BS902" t="s">
        <v>14785</v>
      </c>
      <c r="BT902" t="str">
        <f>HYPERLINK("https%3A%2F%2Fwww.webofscience.com%2Fwos%2Fwoscc%2Ffull-record%2FWOS:000249143600051","View Full Record in Web of Science")</f>
        <v>View Full Record in Web of Science</v>
      </c>
    </row>
    <row r="903" spans="1:72" x14ac:dyDescent="0.15">
      <c r="A903" t="s">
        <v>72</v>
      </c>
      <c r="B903" t="s">
        <v>14786</v>
      </c>
      <c r="C903" t="s">
        <v>74</v>
      </c>
      <c r="D903" t="s">
        <v>74</v>
      </c>
      <c r="E903" t="s">
        <v>74</v>
      </c>
      <c r="F903" t="s">
        <v>14787</v>
      </c>
      <c r="G903" t="s">
        <v>74</v>
      </c>
      <c r="H903" t="s">
        <v>74</v>
      </c>
      <c r="I903" t="s">
        <v>14788</v>
      </c>
      <c r="J903" t="s">
        <v>11019</v>
      </c>
      <c r="K903" t="s">
        <v>74</v>
      </c>
      <c r="L903" t="s">
        <v>74</v>
      </c>
      <c r="M903" t="s">
        <v>78</v>
      </c>
      <c r="N903" t="s">
        <v>79</v>
      </c>
      <c r="O903" t="s">
        <v>74</v>
      </c>
      <c r="P903" t="s">
        <v>74</v>
      </c>
      <c r="Q903" t="s">
        <v>74</v>
      </c>
      <c r="R903" t="s">
        <v>74</v>
      </c>
      <c r="S903" t="s">
        <v>74</v>
      </c>
      <c r="T903" t="s">
        <v>14789</v>
      </c>
      <c r="U903" t="s">
        <v>14790</v>
      </c>
      <c r="V903" t="s">
        <v>14791</v>
      </c>
      <c r="W903" t="s">
        <v>14792</v>
      </c>
      <c r="X903" t="s">
        <v>14793</v>
      </c>
      <c r="Y903" t="s">
        <v>14794</v>
      </c>
      <c r="Z903" t="s">
        <v>14795</v>
      </c>
      <c r="AA903" t="s">
        <v>14796</v>
      </c>
      <c r="AB903" t="s">
        <v>14797</v>
      </c>
      <c r="AC903" t="s">
        <v>74</v>
      </c>
      <c r="AD903" t="s">
        <v>74</v>
      </c>
      <c r="AE903" t="s">
        <v>74</v>
      </c>
      <c r="AF903" t="s">
        <v>74</v>
      </c>
      <c r="AG903">
        <v>44</v>
      </c>
      <c r="AH903">
        <v>19</v>
      </c>
      <c r="AI903">
        <v>19</v>
      </c>
      <c r="AJ903">
        <v>0</v>
      </c>
      <c r="AK903">
        <v>4</v>
      </c>
      <c r="AL903" t="s">
        <v>9281</v>
      </c>
      <c r="AM903" t="s">
        <v>118</v>
      </c>
      <c r="AN903" t="s">
        <v>1509</v>
      </c>
      <c r="AO903" t="s">
        <v>11029</v>
      </c>
      <c r="AP903" t="s">
        <v>14798</v>
      </c>
      <c r="AQ903" t="s">
        <v>74</v>
      </c>
      <c r="AR903" t="s">
        <v>11030</v>
      </c>
      <c r="AS903" t="s">
        <v>11031</v>
      </c>
      <c r="AT903" t="s">
        <v>14768</v>
      </c>
      <c r="AU903">
        <v>2007</v>
      </c>
      <c r="AV903">
        <v>372</v>
      </c>
      <c r="AW903">
        <v>2</v>
      </c>
      <c r="AX903" t="s">
        <v>74</v>
      </c>
      <c r="AY903" t="s">
        <v>74</v>
      </c>
      <c r="AZ903" t="s">
        <v>74</v>
      </c>
      <c r="BA903" t="s">
        <v>74</v>
      </c>
      <c r="BB903">
        <v>277</v>
      </c>
      <c r="BC903">
        <v>286</v>
      </c>
      <c r="BD903" t="s">
        <v>74</v>
      </c>
      <c r="BE903" t="s">
        <v>14799</v>
      </c>
      <c r="BF903" t="str">
        <f>HYPERLINK("http://dx.doi.org/10.1016/j.jmb.2007.06.046","http://dx.doi.org/10.1016/j.jmb.2007.06.046")</f>
        <v>http://dx.doi.org/10.1016/j.jmb.2007.06.046</v>
      </c>
      <c r="BG903" t="s">
        <v>74</v>
      </c>
      <c r="BH903" t="s">
        <v>74</v>
      </c>
      <c r="BI903">
        <v>10</v>
      </c>
      <c r="BJ903" t="s">
        <v>7853</v>
      </c>
      <c r="BK903" t="s">
        <v>97</v>
      </c>
      <c r="BL903" t="s">
        <v>7853</v>
      </c>
      <c r="BM903" t="s">
        <v>14800</v>
      </c>
      <c r="BN903">
        <v>17663000</v>
      </c>
      <c r="BO903" t="s">
        <v>74</v>
      </c>
      <c r="BP903" t="s">
        <v>74</v>
      </c>
      <c r="BQ903" t="s">
        <v>74</v>
      </c>
      <c r="BR903" t="s">
        <v>100</v>
      </c>
      <c r="BS903" t="s">
        <v>14801</v>
      </c>
      <c r="BT903" t="str">
        <f>HYPERLINK("https%3A%2F%2Fwww.webofscience.com%2Fwos%2Fwoscc%2Ffull-record%2FWOS:000249372200001","View Full Record in Web of Science")</f>
        <v>View Full Record in Web of Science</v>
      </c>
    </row>
    <row r="904" spans="1:72" x14ac:dyDescent="0.15">
      <c r="A904" t="s">
        <v>72</v>
      </c>
      <c r="B904" t="s">
        <v>14802</v>
      </c>
      <c r="C904" t="s">
        <v>74</v>
      </c>
      <c r="D904" t="s">
        <v>74</v>
      </c>
      <c r="E904" t="s">
        <v>74</v>
      </c>
      <c r="F904" t="s">
        <v>14803</v>
      </c>
      <c r="G904" t="s">
        <v>74</v>
      </c>
      <c r="H904" t="s">
        <v>74</v>
      </c>
      <c r="I904" t="s">
        <v>14804</v>
      </c>
      <c r="J904" t="s">
        <v>10904</v>
      </c>
      <c r="K904" t="s">
        <v>74</v>
      </c>
      <c r="L904" t="s">
        <v>74</v>
      </c>
      <c r="M904" t="s">
        <v>78</v>
      </c>
      <c r="N904" t="s">
        <v>106</v>
      </c>
      <c r="O904" t="s">
        <v>74</v>
      </c>
      <c r="P904" t="s">
        <v>74</v>
      </c>
      <c r="Q904" t="s">
        <v>74</v>
      </c>
      <c r="R904" t="s">
        <v>74</v>
      </c>
      <c r="S904" t="s">
        <v>74</v>
      </c>
      <c r="T904" t="s">
        <v>14805</v>
      </c>
      <c r="U904" t="s">
        <v>14806</v>
      </c>
      <c r="V904" t="s">
        <v>14807</v>
      </c>
      <c r="W904" t="s">
        <v>14808</v>
      </c>
      <c r="X904" t="s">
        <v>14809</v>
      </c>
      <c r="Y904" t="s">
        <v>14810</v>
      </c>
      <c r="Z904" t="s">
        <v>14811</v>
      </c>
      <c r="AA904" t="s">
        <v>74</v>
      </c>
      <c r="AB904" t="s">
        <v>74</v>
      </c>
      <c r="AC904" t="s">
        <v>74</v>
      </c>
      <c r="AD904" t="s">
        <v>74</v>
      </c>
      <c r="AE904" t="s">
        <v>74</v>
      </c>
      <c r="AF904" t="s">
        <v>74</v>
      </c>
      <c r="AG904">
        <v>103</v>
      </c>
      <c r="AH904">
        <v>90</v>
      </c>
      <c r="AI904">
        <v>97</v>
      </c>
      <c r="AJ904">
        <v>1</v>
      </c>
      <c r="AK904">
        <v>30</v>
      </c>
      <c r="AL904" t="s">
        <v>265</v>
      </c>
      <c r="AM904" t="s">
        <v>266</v>
      </c>
      <c r="AN904" t="s">
        <v>267</v>
      </c>
      <c r="AO904" t="s">
        <v>10913</v>
      </c>
      <c r="AP904" t="s">
        <v>14502</v>
      </c>
      <c r="AQ904" t="s">
        <v>74</v>
      </c>
      <c r="AR904" t="s">
        <v>10914</v>
      </c>
      <c r="AS904" t="s">
        <v>10915</v>
      </c>
      <c r="AT904" t="s">
        <v>14768</v>
      </c>
      <c r="AU904">
        <v>2007</v>
      </c>
      <c r="AV904">
        <v>253</v>
      </c>
      <c r="AW904" t="s">
        <v>551</v>
      </c>
      <c r="AX904" t="s">
        <v>74</v>
      </c>
      <c r="AY904" t="s">
        <v>74</v>
      </c>
      <c r="AZ904" t="s">
        <v>74</v>
      </c>
      <c r="BA904" t="s">
        <v>74</v>
      </c>
      <c r="BB904">
        <v>91</v>
      </c>
      <c r="BC904">
        <v>114</v>
      </c>
      <c r="BD904" t="s">
        <v>74</v>
      </c>
      <c r="BE904" t="s">
        <v>14812</v>
      </c>
      <c r="BF904" t="str">
        <f>HYPERLINK("http://dx.doi.org/10.1016/j.palaeo.2007.03.035","http://dx.doi.org/10.1016/j.palaeo.2007.03.035")</f>
        <v>http://dx.doi.org/10.1016/j.palaeo.2007.03.035</v>
      </c>
      <c r="BG904" t="s">
        <v>74</v>
      </c>
      <c r="BH904" t="s">
        <v>74</v>
      </c>
      <c r="BI904">
        <v>24</v>
      </c>
      <c r="BJ904" t="s">
        <v>10918</v>
      </c>
      <c r="BK904" t="s">
        <v>97</v>
      </c>
      <c r="BL904" t="s">
        <v>10919</v>
      </c>
      <c r="BM904" t="s">
        <v>14813</v>
      </c>
      <c r="BN904" t="s">
        <v>74</v>
      </c>
      <c r="BO904" t="s">
        <v>74</v>
      </c>
      <c r="BP904" t="s">
        <v>74</v>
      </c>
      <c r="BQ904" t="s">
        <v>74</v>
      </c>
      <c r="BR904" t="s">
        <v>100</v>
      </c>
      <c r="BS904" t="s">
        <v>14814</v>
      </c>
      <c r="BT904" t="str">
        <f>HYPERLINK("https%3A%2F%2Fwww.webofscience.com%2Fwos%2Fwoscc%2Ffull-record%2FWOS:000249996200006","View Full Record in Web of Science")</f>
        <v>View Full Record in Web of Science</v>
      </c>
    </row>
    <row r="905" spans="1:72" x14ac:dyDescent="0.15">
      <c r="A905" t="s">
        <v>72</v>
      </c>
      <c r="B905" t="s">
        <v>14815</v>
      </c>
      <c r="C905" t="s">
        <v>74</v>
      </c>
      <c r="D905" t="s">
        <v>74</v>
      </c>
      <c r="E905" t="s">
        <v>74</v>
      </c>
      <c r="F905" t="s">
        <v>14816</v>
      </c>
      <c r="G905" t="s">
        <v>74</v>
      </c>
      <c r="H905" t="s">
        <v>74</v>
      </c>
      <c r="I905" t="s">
        <v>14817</v>
      </c>
      <c r="J905" t="s">
        <v>233</v>
      </c>
      <c r="K905" t="s">
        <v>74</v>
      </c>
      <c r="L905" t="s">
        <v>74</v>
      </c>
      <c r="M905" t="s">
        <v>78</v>
      </c>
      <c r="N905" t="s">
        <v>79</v>
      </c>
      <c r="O905" t="s">
        <v>74</v>
      </c>
      <c r="P905" t="s">
        <v>74</v>
      </c>
      <c r="Q905" t="s">
        <v>74</v>
      </c>
      <c r="R905" t="s">
        <v>74</v>
      </c>
      <c r="S905" t="s">
        <v>74</v>
      </c>
      <c r="T905" t="s">
        <v>74</v>
      </c>
      <c r="U905" t="s">
        <v>14818</v>
      </c>
      <c r="V905" t="s">
        <v>14819</v>
      </c>
      <c r="W905" t="s">
        <v>14820</v>
      </c>
      <c r="X905" t="s">
        <v>14821</v>
      </c>
      <c r="Y905" t="s">
        <v>14822</v>
      </c>
      <c r="Z905" t="s">
        <v>14823</v>
      </c>
      <c r="AA905" t="s">
        <v>74</v>
      </c>
      <c r="AB905" t="s">
        <v>74</v>
      </c>
      <c r="AC905" t="s">
        <v>74</v>
      </c>
      <c r="AD905" t="s">
        <v>74</v>
      </c>
      <c r="AE905" t="s">
        <v>74</v>
      </c>
      <c r="AF905" t="s">
        <v>74</v>
      </c>
      <c r="AG905">
        <v>25</v>
      </c>
      <c r="AH905">
        <v>10</v>
      </c>
      <c r="AI905">
        <v>10</v>
      </c>
      <c r="AJ905">
        <v>0</v>
      </c>
      <c r="AK905">
        <v>5</v>
      </c>
      <c r="AL905" t="s">
        <v>193</v>
      </c>
      <c r="AM905" t="s">
        <v>194</v>
      </c>
      <c r="AN905" t="s">
        <v>195</v>
      </c>
      <c r="AO905" t="s">
        <v>243</v>
      </c>
      <c r="AP905" t="s">
        <v>326</v>
      </c>
      <c r="AQ905" t="s">
        <v>74</v>
      </c>
      <c r="AR905" t="s">
        <v>244</v>
      </c>
      <c r="AS905" t="s">
        <v>245</v>
      </c>
      <c r="AT905" t="s">
        <v>14824</v>
      </c>
      <c r="AU905">
        <v>2007</v>
      </c>
      <c r="AV905">
        <v>34</v>
      </c>
      <c r="AW905">
        <v>17</v>
      </c>
      <c r="AX905" t="s">
        <v>74</v>
      </c>
      <c r="AY905" t="s">
        <v>74</v>
      </c>
      <c r="AZ905" t="s">
        <v>74</v>
      </c>
      <c r="BA905" t="s">
        <v>74</v>
      </c>
      <c r="BB905" t="s">
        <v>74</v>
      </c>
      <c r="BC905" t="s">
        <v>74</v>
      </c>
      <c r="BD905" t="s">
        <v>14825</v>
      </c>
      <c r="BE905" t="s">
        <v>14826</v>
      </c>
      <c r="BF905" t="str">
        <f>HYPERLINK("http://dx.doi.org/10.1029/2007GL030056","http://dx.doi.org/10.1029/2007GL030056")</f>
        <v>http://dx.doi.org/10.1029/2007GL030056</v>
      </c>
      <c r="BG905" t="s">
        <v>74</v>
      </c>
      <c r="BH905" t="s">
        <v>74</v>
      </c>
      <c r="BI905">
        <v>4</v>
      </c>
      <c r="BJ905" t="s">
        <v>96</v>
      </c>
      <c r="BK905" t="s">
        <v>97</v>
      </c>
      <c r="BL905" t="s">
        <v>98</v>
      </c>
      <c r="BM905" t="s">
        <v>14827</v>
      </c>
      <c r="BN905" t="s">
        <v>74</v>
      </c>
      <c r="BO905" t="s">
        <v>179</v>
      </c>
      <c r="BP905" t="s">
        <v>74</v>
      </c>
      <c r="BQ905" t="s">
        <v>74</v>
      </c>
      <c r="BR905" t="s">
        <v>100</v>
      </c>
      <c r="BS905" t="s">
        <v>14828</v>
      </c>
      <c r="BT905" t="str">
        <f>HYPERLINK("https%3A%2F%2Fwww.webofscience.com%2Fwos%2Fwoscc%2Ffull-record%2FWOS:000249518000001","View Full Record in Web of Science")</f>
        <v>View Full Record in Web of Science</v>
      </c>
    </row>
    <row r="906" spans="1:72" x14ac:dyDescent="0.15">
      <c r="A906" t="s">
        <v>72</v>
      </c>
      <c r="B906" t="s">
        <v>14829</v>
      </c>
      <c r="C906" t="s">
        <v>74</v>
      </c>
      <c r="D906" t="s">
        <v>74</v>
      </c>
      <c r="E906" t="s">
        <v>74</v>
      </c>
      <c r="F906" t="s">
        <v>14830</v>
      </c>
      <c r="G906" t="s">
        <v>74</v>
      </c>
      <c r="H906" t="s">
        <v>74</v>
      </c>
      <c r="I906" t="s">
        <v>14831</v>
      </c>
      <c r="J906" t="s">
        <v>11056</v>
      </c>
      <c r="K906" t="s">
        <v>74</v>
      </c>
      <c r="L906" t="s">
        <v>74</v>
      </c>
      <c r="M906" t="s">
        <v>78</v>
      </c>
      <c r="N906" t="s">
        <v>79</v>
      </c>
      <c r="O906" t="s">
        <v>74</v>
      </c>
      <c r="P906" t="s">
        <v>74</v>
      </c>
      <c r="Q906" t="s">
        <v>74</v>
      </c>
      <c r="R906" t="s">
        <v>74</v>
      </c>
      <c r="S906" t="s">
        <v>74</v>
      </c>
      <c r="T906" t="s">
        <v>74</v>
      </c>
      <c r="U906" t="s">
        <v>14832</v>
      </c>
      <c r="V906" t="s">
        <v>14833</v>
      </c>
      <c r="W906" t="s">
        <v>14834</v>
      </c>
      <c r="X906" t="s">
        <v>14835</v>
      </c>
      <c r="Y906" t="s">
        <v>14836</v>
      </c>
      <c r="Z906" t="s">
        <v>74</v>
      </c>
      <c r="AA906" t="s">
        <v>14837</v>
      </c>
      <c r="AB906" t="s">
        <v>14838</v>
      </c>
      <c r="AC906" t="s">
        <v>74</v>
      </c>
      <c r="AD906" t="s">
        <v>74</v>
      </c>
      <c r="AE906" t="s">
        <v>74</v>
      </c>
      <c r="AF906" t="s">
        <v>74</v>
      </c>
      <c r="AG906">
        <v>38</v>
      </c>
      <c r="AH906">
        <v>1</v>
      </c>
      <c r="AI906">
        <v>1</v>
      </c>
      <c r="AJ906">
        <v>0</v>
      </c>
      <c r="AK906">
        <v>5</v>
      </c>
      <c r="AL906" t="s">
        <v>193</v>
      </c>
      <c r="AM906" t="s">
        <v>194</v>
      </c>
      <c r="AN906" t="s">
        <v>195</v>
      </c>
      <c r="AO906" t="s">
        <v>11066</v>
      </c>
      <c r="AP906" t="s">
        <v>11067</v>
      </c>
      <c r="AQ906" t="s">
        <v>74</v>
      </c>
      <c r="AR906" t="s">
        <v>11068</v>
      </c>
      <c r="AS906" t="s">
        <v>11069</v>
      </c>
      <c r="AT906" t="s">
        <v>14824</v>
      </c>
      <c r="AU906">
        <v>2007</v>
      </c>
      <c r="AV906">
        <v>112</v>
      </c>
      <c r="AW906" t="s">
        <v>11071</v>
      </c>
      <c r="AX906" t="s">
        <v>74</v>
      </c>
      <c r="AY906" t="s">
        <v>74</v>
      </c>
      <c r="AZ906" t="s">
        <v>74</v>
      </c>
      <c r="BA906" t="s">
        <v>74</v>
      </c>
      <c r="BB906" t="s">
        <v>74</v>
      </c>
      <c r="BC906" t="s">
        <v>74</v>
      </c>
      <c r="BD906" t="s">
        <v>14839</v>
      </c>
      <c r="BE906" t="s">
        <v>14840</v>
      </c>
      <c r="BF906" t="str">
        <f>HYPERLINK("http://dx.doi.org/10.1029/2006JG000318","http://dx.doi.org/10.1029/2006JG000318")</f>
        <v>http://dx.doi.org/10.1029/2006JG000318</v>
      </c>
      <c r="BG906" t="s">
        <v>74</v>
      </c>
      <c r="BH906" t="s">
        <v>74</v>
      </c>
      <c r="BI906">
        <v>12</v>
      </c>
      <c r="BJ906" t="s">
        <v>4395</v>
      </c>
      <c r="BK906" t="s">
        <v>97</v>
      </c>
      <c r="BL906" t="s">
        <v>2603</v>
      </c>
      <c r="BM906" t="s">
        <v>14841</v>
      </c>
      <c r="BN906" t="s">
        <v>74</v>
      </c>
      <c r="BO906" t="s">
        <v>74</v>
      </c>
      <c r="BP906" t="s">
        <v>74</v>
      </c>
      <c r="BQ906" t="s">
        <v>74</v>
      </c>
      <c r="BR906" t="s">
        <v>100</v>
      </c>
      <c r="BS906" t="s">
        <v>14842</v>
      </c>
      <c r="BT906" t="str">
        <f>HYPERLINK("https%3A%2F%2Fwww.webofscience.com%2Fwos%2Fwoscc%2Ffull-record%2FWOS:000249519100002","View Full Record in Web of Science")</f>
        <v>View Full Record in Web of Science</v>
      </c>
    </row>
    <row r="907" spans="1:72" x14ac:dyDescent="0.15">
      <c r="A907" t="s">
        <v>72</v>
      </c>
      <c r="B907" t="s">
        <v>14843</v>
      </c>
      <c r="C907" t="s">
        <v>74</v>
      </c>
      <c r="D907" t="s">
        <v>74</v>
      </c>
      <c r="E907" t="s">
        <v>74</v>
      </c>
      <c r="F907" t="s">
        <v>14844</v>
      </c>
      <c r="G907" t="s">
        <v>74</v>
      </c>
      <c r="H907" t="s">
        <v>74</v>
      </c>
      <c r="I907" t="s">
        <v>14845</v>
      </c>
      <c r="J907" t="s">
        <v>233</v>
      </c>
      <c r="K907" t="s">
        <v>74</v>
      </c>
      <c r="L907" t="s">
        <v>74</v>
      </c>
      <c r="M907" t="s">
        <v>78</v>
      </c>
      <c r="N907" t="s">
        <v>79</v>
      </c>
      <c r="O907" t="s">
        <v>74</v>
      </c>
      <c r="P907" t="s">
        <v>74</v>
      </c>
      <c r="Q907" t="s">
        <v>74</v>
      </c>
      <c r="R907" t="s">
        <v>74</v>
      </c>
      <c r="S907" t="s">
        <v>74</v>
      </c>
      <c r="T907" t="s">
        <v>74</v>
      </c>
      <c r="U907" t="s">
        <v>14846</v>
      </c>
      <c r="V907" t="s">
        <v>14847</v>
      </c>
      <c r="W907" t="s">
        <v>14848</v>
      </c>
      <c r="X907" t="s">
        <v>14849</v>
      </c>
      <c r="Y907" t="s">
        <v>14850</v>
      </c>
      <c r="Z907" t="s">
        <v>74</v>
      </c>
      <c r="AA907" t="s">
        <v>74</v>
      </c>
      <c r="AB907" t="s">
        <v>14851</v>
      </c>
      <c r="AC907" t="s">
        <v>74</v>
      </c>
      <c r="AD907" t="s">
        <v>74</v>
      </c>
      <c r="AE907" t="s">
        <v>74</v>
      </c>
      <c r="AF907" t="s">
        <v>74</v>
      </c>
      <c r="AG907">
        <v>34</v>
      </c>
      <c r="AH907">
        <v>106</v>
      </c>
      <c r="AI907">
        <v>118</v>
      </c>
      <c r="AJ907">
        <v>1</v>
      </c>
      <c r="AK907">
        <v>30</v>
      </c>
      <c r="AL907" t="s">
        <v>193</v>
      </c>
      <c r="AM907" t="s">
        <v>194</v>
      </c>
      <c r="AN907" t="s">
        <v>195</v>
      </c>
      <c r="AO907" t="s">
        <v>243</v>
      </c>
      <c r="AP907" t="s">
        <v>326</v>
      </c>
      <c r="AQ907" t="s">
        <v>74</v>
      </c>
      <c r="AR907" t="s">
        <v>244</v>
      </c>
      <c r="AS907" t="s">
        <v>245</v>
      </c>
      <c r="AT907" t="s">
        <v>14852</v>
      </c>
      <c r="AU907">
        <v>2007</v>
      </c>
      <c r="AV907">
        <v>34</v>
      </c>
      <c r="AW907">
        <v>17</v>
      </c>
      <c r="AX907" t="s">
        <v>74</v>
      </c>
      <c r="AY907" t="s">
        <v>74</v>
      </c>
      <c r="AZ907" t="s">
        <v>74</v>
      </c>
      <c r="BA907" t="s">
        <v>74</v>
      </c>
      <c r="BB907" t="s">
        <v>74</v>
      </c>
      <c r="BC907" t="s">
        <v>74</v>
      </c>
      <c r="BD907" t="s">
        <v>14853</v>
      </c>
      <c r="BE907" t="s">
        <v>14854</v>
      </c>
      <c r="BF907" t="str">
        <f>HYPERLINK("http://dx.doi.org/10.1029/2007GL030520","http://dx.doi.org/10.1029/2007GL030520")</f>
        <v>http://dx.doi.org/10.1029/2007GL030520</v>
      </c>
      <c r="BG907" t="s">
        <v>74</v>
      </c>
      <c r="BH907" t="s">
        <v>74</v>
      </c>
      <c r="BI907">
        <v>6</v>
      </c>
      <c r="BJ907" t="s">
        <v>96</v>
      </c>
      <c r="BK907" t="s">
        <v>97</v>
      </c>
      <c r="BL907" t="s">
        <v>98</v>
      </c>
      <c r="BM907" t="s">
        <v>14855</v>
      </c>
      <c r="BN907" t="s">
        <v>74</v>
      </c>
      <c r="BO907" t="s">
        <v>74</v>
      </c>
      <c r="BP907" t="s">
        <v>74</v>
      </c>
      <c r="BQ907" t="s">
        <v>74</v>
      </c>
      <c r="BR907" t="s">
        <v>100</v>
      </c>
      <c r="BS907" t="s">
        <v>14856</v>
      </c>
      <c r="BT907" t="str">
        <f>HYPERLINK("https%3A%2F%2Fwww.webofscience.com%2Fwos%2Fwoscc%2Ffull-record%2FWOS:000249517900005","View Full Record in Web of Science")</f>
        <v>View Full Record in Web of Science</v>
      </c>
    </row>
    <row r="908" spans="1:72" x14ac:dyDescent="0.15">
      <c r="A908" t="s">
        <v>72</v>
      </c>
      <c r="B908" t="s">
        <v>14857</v>
      </c>
      <c r="C908" t="s">
        <v>74</v>
      </c>
      <c r="D908" t="s">
        <v>74</v>
      </c>
      <c r="E908" t="s">
        <v>74</v>
      </c>
      <c r="F908" t="s">
        <v>14858</v>
      </c>
      <c r="G908" t="s">
        <v>74</v>
      </c>
      <c r="H908" t="s">
        <v>74</v>
      </c>
      <c r="I908" t="s">
        <v>14859</v>
      </c>
      <c r="J908" t="s">
        <v>184</v>
      </c>
      <c r="K908" t="s">
        <v>74</v>
      </c>
      <c r="L908" t="s">
        <v>74</v>
      </c>
      <c r="M908" t="s">
        <v>78</v>
      </c>
      <c r="N908" t="s">
        <v>79</v>
      </c>
      <c r="O908" t="s">
        <v>74</v>
      </c>
      <c r="P908" t="s">
        <v>74</v>
      </c>
      <c r="Q908" t="s">
        <v>74</v>
      </c>
      <c r="R908" t="s">
        <v>74</v>
      </c>
      <c r="S908" t="s">
        <v>74</v>
      </c>
      <c r="T908" t="s">
        <v>74</v>
      </c>
      <c r="U908" t="s">
        <v>14860</v>
      </c>
      <c r="V908" t="s">
        <v>14861</v>
      </c>
      <c r="W908" t="s">
        <v>14862</v>
      </c>
      <c r="X908" t="s">
        <v>14863</v>
      </c>
      <c r="Y908" t="s">
        <v>14864</v>
      </c>
      <c r="Z908" t="s">
        <v>14865</v>
      </c>
      <c r="AA908" t="s">
        <v>14866</v>
      </c>
      <c r="AB908" t="s">
        <v>14867</v>
      </c>
      <c r="AC908" t="s">
        <v>74</v>
      </c>
      <c r="AD908" t="s">
        <v>74</v>
      </c>
      <c r="AE908" t="s">
        <v>74</v>
      </c>
      <c r="AF908" t="s">
        <v>74</v>
      </c>
      <c r="AG908">
        <v>49</v>
      </c>
      <c r="AH908">
        <v>45</v>
      </c>
      <c r="AI908">
        <v>48</v>
      </c>
      <c r="AJ908">
        <v>0</v>
      </c>
      <c r="AK908">
        <v>14</v>
      </c>
      <c r="AL908" t="s">
        <v>193</v>
      </c>
      <c r="AM908" t="s">
        <v>194</v>
      </c>
      <c r="AN908" t="s">
        <v>195</v>
      </c>
      <c r="AO908" t="s">
        <v>196</v>
      </c>
      <c r="AP908" t="s">
        <v>197</v>
      </c>
      <c r="AQ908" t="s">
        <v>74</v>
      </c>
      <c r="AR908" t="s">
        <v>198</v>
      </c>
      <c r="AS908" t="s">
        <v>199</v>
      </c>
      <c r="AT908" t="s">
        <v>14868</v>
      </c>
      <c r="AU908">
        <v>2007</v>
      </c>
      <c r="AV908">
        <v>112</v>
      </c>
      <c r="AW908" t="s">
        <v>14869</v>
      </c>
      <c r="AX908" t="s">
        <v>74</v>
      </c>
      <c r="AY908" t="s">
        <v>74</v>
      </c>
      <c r="AZ908" t="s">
        <v>74</v>
      </c>
      <c r="BA908" t="s">
        <v>74</v>
      </c>
      <c r="BB908" t="s">
        <v>74</v>
      </c>
      <c r="BC908" t="s">
        <v>74</v>
      </c>
      <c r="BD908" t="s">
        <v>14870</v>
      </c>
      <c r="BE908" t="s">
        <v>14871</v>
      </c>
      <c r="BF908" t="str">
        <f>HYPERLINK("http://dx.doi.org/10.1029/2006JD008126","http://dx.doi.org/10.1029/2006JD008126")</f>
        <v>http://dx.doi.org/10.1029/2006JD008126</v>
      </c>
      <c r="BG908" t="s">
        <v>74</v>
      </c>
      <c r="BH908" t="s">
        <v>74</v>
      </c>
      <c r="BI908">
        <v>16</v>
      </c>
      <c r="BJ908" t="s">
        <v>204</v>
      </c>
      <c r="BK908" t="s">
        <v>97</v>
      </c>
      <c r="BL908" t="s">
        <v>204</v>
      </c>
      <c r="BM908" t="s">
        <v>14872</v>
      </c>
      <c r="BN908" t="s">
        <v>74</v>
      </c>
      <c r="BO908" t="s">
        <v>179</v>
      </c>
      <c r="BP908" t="s">
        <v>74</v>
      </c>
      <c r="BQ908" t="s">
        <v>74</v>
      </c>
      <c r="BR908" t="s">
        <v>100</v>
      </c>
      <c r="BS908" t="s">
        <v>14873</v>
      </c>
      <c r="BT908" t="str">
        <f>HYPERLINK("https%3A%2F%2Fwww.webofscience.com%2Fwos%2Fwoscc%2Ffull-record%2FWOS:000249518500002","View Full Record in Web of Science")</f>
        <v>View Full Record in Web of Science</v>
      </c>
    </row>
    <row r="909" spans="1:72" x14ac:dyDescent="0.15">
      <c r="A909" t="s">
        <v>72</v>
      </c>
      <c r="B909" t="s">
        <v>14874</v>
      </c>
      <c r="C909" t="s">
        <v>74</v>
      </c>
      <c r="D909" t="s">
        <v>74</v>
      </c>
      <c r="E909" t="s">
        <v>74</v>
      </c>
      <c r="F909" t="s">
        <v>14875</v>
      </c>
      <c r="G909" t="s">
        <v>74</v>
      </c>
      <c r="H909" t="s">
        <v>74</v>
      </c>
      <c r="I909" t="s">
        <v>14876</v>
      </c>
      <c r="J909" t="s">
        <v>184</v>
      </c>
      <c r="K909" t="s">
        <v>74</v>
      </c>
      <c r="L909" t="s">
        <v>74</v>
      </c>
      <c r="M909" t="s">
        <v>78</v>
      </c>
      <c r="N909" t="s">
        <v>79</v>
      </c>
      <c r="O909" t="s">
        <v>74</v>
      </c>
      <c r="P909" t="s">
        <v>74</v>
      </c>
      <c r="Q909" t="s">
        <v>74</v>
      </c>
      <c r="R909" t="s">
        <v>74</v>
      </c>
      <c r="S909" t="s">
        <v>74</v>
      </c>
      <c r="T909" t="s">
        <v>74</v>
      </c>
      <c r="U909" t="s">
        <v>14877</v>
      </c>
      <c r="V909" t="s">
        <v>14878</v>
      </c>
      <c r="W909" t="s">
        <v>14879</v>
      </c>
      <c r="X909" t="s">
        <v>14880</v>
      </c>
      <c r="Y909" t="s">
        <v>14864</v>
      </c>
      <c r="Z909" t="s">
        <v>14881</v>
      </c>
      <c r="AA909" t="s">
        <v>14866</v>
      </c>
      <c r="AB909" t="s">
        <v>14867</v>
      </c>
      <c r="AC909" t="s">
        <v>74</v>
      </c>
      <c r="AD909" t="s">
        <v>74</v>
      </c>
      <c r="AE909" t="s">
        <v>74</v>
      </c>
      <c r="AF909" t="s">
        <v>74</v>
      </c>
      <c r="AG909">
        <v>42</v>
      </c>
      <c r="AH909">
        <v>29</v>
      </c>
      <c r="AI909">
        <v>31</v>
      </c>
      <c r="AJ909">
        <v>0</v>
      </c>
      <c r="AK909">
        <v>8</v>
      </c>
      <c r="AL909" t="s">
        <v>193</v>
      </c>
      <c r="AM909" t="s">
        <v>194</v>
      </c>
      <c r="AN909" t="s">
        <v>195</v>
      </c>
      <c r="AO909" t="s">
        <v>196</v>
      </c>
      <c r="AP909" t="s">
        <v>197</v>
      </c>
      <c r="AQ909" t="s">
        <v>74</v>
      </c>
      <c r="AR909" t="s">
        <v>198</v>
      </c>
      <c r="AS909" t="s">
        <v>199</v>
      </c>
      <c r="AT909" t="s">
        <v>14868</v>
      </c>
      <c r="AU909">
        <v>2007</v>
      </c>
      <c r="AV909">
        <v>112</v>
      </c>
      <c r="AW909" t="s">
        <v>14869</v>
      </c>
      <c r="AX909" t="s">
        <v>74</v>
      </c>
      <c r="AY909" t="s">
        <v>74</v>
      </c>
      <c r="AZ909" t="s">
        <v>74</v>
      </c>
      <c r="BA909" t="s">
        <v>74</v>
      </c>
      <c r="BB909" t="s">
        <v>74</v>
      </c>
      <c r="BC909" t="s">
        <v>74</v>
      </c>
      <c r="BD909" t="s">
        <v>14882</v>
      </c>
      <c r="BE909" t="s">
        <v>14883</v>
      </c>
      <c r="BF909" t="str">
        <f>HYPERLINK("http://dx.doi.org/10.1029/2006JD008127","http://dx.doi.org/10.1029/2006JD008127")</f>
        <v>http://dx.doi.org/10.1029/2006JD008127</v>
      </c>
      <c r="BG909" t="s">
        <v>74</v>
      </c>
      <c r="BH909" t="s">
        <v>74</v>
      </c>
      <c r="BI909">
        <v>14</v>
      </c>
      <c r="BJ909" t="s">
        <v>204</v>
      </c>
      <c r="BK909" t="s">
        <v>97</v>
      </c>
      <c r="BL909" t="s">
        <v>204</v>
      </c>
      <c r="BM909" t="s">
        <v>14872</v>
      </c>
      <c r="BN909" t="s">
        <v>74</v>
      </c>
      <c r="BO909" t="s">
        <v>179</v>
      </c>
      <c r="BP909" t="s">
        <v>74</v>
      </c>
      <c r="BQ909" t="s">
        <v>74</v>
      </c>
      <c r="BR909" t="s">
        <v>100</v>
      </c>
      <c r="BS909" t="s">
        <v>14884</v>
      </c>
      <c r="BT909" t="str">
        <f>HYPERLINK("https%3A%2F%2Fwww.webofscience.com%2Fwos%2Fwoscc%2Ffull-record%2FWOS:000249518500003","View Full Record in Web of Science")</f>
        <v>View Full Record in Web of Science</v>
      </c>
    </row>
    <row r="910" spans="1:72" x14ac:dyDescent="0.15">
      <c r="A910" t="s">
        <v>72</v>
      </c>
      <c r="B910" t="s">
        <v>14885</v>
      </c>
      <c r="C910" t="s">
        <v>74</v>
      </c>
      <c r="D910" t="s">
        <v>74</v>
      </c>
      <c r="E910" t="s">
        <v>74</v>
      </c>
      <c r="F910" t="s">
        <v>14886</v>
      </c>
      <c r="G910" t="s">
        <v>74</v>
      </c>
      <c r="H910" t="s">
        <v>74</v>
      </c>
      <c r="I910" t="s">
        <v>14887</v>
      </c>
      <c r="J910" t="s">
        <v>8820</v>
      </c>
      <c r="K910" t="s">
        <v>74</v>
      </c>
      <c r="L910" t="s">
        <v>74</v>
      </c>
      <c r="M910" t="s">
        <v>78</v>
      </c>
      <c r="N910" t="s">
        <v>79</v>
      </c>
      <c r="O910" t="s">
        <v>74</v>
      </c>
      <c r="P910" t="s">
        <v>74</v>
      </c>
      <c r="Q910" t="s">
        <v>74</v>
      </c>
      <c r="R910" t="s">
        <v>74</v>
      </c>
      <c r="S910" t="s">
        <v>74</v>
      </c>
      <c r="T910" t="s">
        <v>74</v>
      </c>
      <c r="U910" t="s">
        <v>74</v>
      </c>
      <c r="V910" t="s">
        <v>14888</v>
      </c>
      <c r="W910" t="s">
        <v>74</v>
      </c>
      <c r="X910" t="s">
        <v>74</v>
      </c>
      <c r="Y910" t="s">
        <v>74</v>
      </c>
      <c r="Z910" t="s">
        <v>14889</v>
      </c>
      <c r="AA910" t="s">
        <v>14890</v>
      </c>
      <c r="AB910" t="s">
        <v>14891</v>
      </c>
      <c r="AC910" t="s">
        <v>74</v>
      </c>
      <c r="AD910" t="s">
        <v>74</v>
      </c>
      <c r="AE910" t="s">
        <v>74</v>
      </c>
      <c r="AF910" t="s">
        <v>74</v>
      </c>
      <c r="AG910">
        <v>17</v>
      </c>
      <c r="AH910">
        <v>5</v>
      </c>
      <c r="AI910">
        <v>5</v>
      </c>
      <c r="AJ910">
        <v>0</v>
      </c>
      <c r="AK910">
        <v>2</v>
      </c>
      <c r="AL910" t="s">
        <v>14892</v>
      </c>
      <c r="AM910" t="s">
        <v>14893</v>
      </c>
      <c r="AN910" t="s">
        <v>14894</v>
      </c>
      <c r="AO910" t="s">
        <v>8829</v>
      </c>
      <c r="AP910" t="s">
        <v>14895</v>
      </c>
      <c r="AQ910" t="s">
        <v>74</v>
      </c>
      <c r="AR910" t="s">
        <v>8820</v>
      </c>
      <c r="AS910" t="s">
        <v>8830</v>
      </c>
      <c r="AT910" t="s">
        <v>14896</v>
      </c>
      <c r="AU910">
        <v>2007</v>
      </c>
      <c r="AV910" t="s">
        <v>74</v>
      </c>
      <c r="AW910">
        <v>3</v>
      </c>
      <c r="AX910" t="s">
        <v>74</v>
      </c>
      <c r="AY910" t="s">
        <v>74</v>
      </c>
      <c r="AZ910" t="s">
        <v>74</v>
      </c>
      <c r="BA910" t="s">
        <v>74</v>
      </c>
      <c r="BB910">
        <v>586</v>
      </c>
      <c r="BC910">
        <v>593</v>
      </c>
      <c r="BD910" t="s">
        <v>74</v>
      </c>
      <c r="BE910" t="s">
        <v>74</v>
      </c>
      <c r="BF910" t="s">
        <v>74</v>
      </c>
      <c r="BG910" t="s">
        <v>74</v>
      </c>
      <c r="BH910" t="s">
        <v>74</v>
      </c>
      <c r="BI910">
        <v>8</v>
      </c>
      <c r="BJ910" t="s">
        <v>4825</v>
      </c>
      <c r="BK910" t="s">
        <v>97</v>
      </c>
      <c r="BL910" t="s">
        <v>4825</v>
      </c>
      <c r="BM910" t="s">
        <v>14897</v>
      </c>
      <c r="BN910" t="s">
        <v>74</v>
      </c>
      <c r="BO910" t="s">
        <v>74</v>
      </c>
      <c r="BP910" t="s">
        <v>74</v>
      </c>
      <c r="BQ910" t="s">
        <v>74</v>
      </c>
      <c r="BR910" t="s">
        <v>100</v>
      </c>
      <c r="BS910" t="s">
        <v>14898</v>
      </c>
      <c r="BT910" t="str">
        <f>HYPERLINK("https%3A%2F%2Fwww.webofscience.com%2Fwos%2Fwoscc%2Ffull-record%2FWOS:000249487000008","View Full Record in Web of Science")</f>
        <v>View Full Record in Web of Science</v>
      </c>
    </row>
    <row r="911" spans="1:72" x14ac:dyDescent="0.15">
      <c r="A911" t="s">
        <v>72</v>
      </c>
      <c r="B911" t="s">
        <v>14899</v>
      </c>
      <c r="C911" t="s">
        <v>74</v>
      </c>
      <c r="D911" t="s">
        <v>74</v>
      </c>
      <c r="E911" t="s">
        <v>74</v>
      </c>
      <c r="F911" t="s">
        <v>14900</v>
      </c>
      <c r="G911" t="s">
        <v>74</v>
      </c>
      <c r="H911" t="s">
        <v>74</v>
      </c>
      <c r="I911" t="s">
        <v>14901</v>
      </c>
      <c r="J911" t="s">
        <v>8864</v>
      </c>
      <c r="K911" t="s">
        <v>74</v>
      </c>
      <c r="L911" t="s">
        <v>74</v>
      </c>
      <c r="M911" t="s">
        <v>78</v>
      </c>
      <c r="N911" t="s">
        <v>79</v>
      </c>
      <c r="O911" t="s">
        <v>74</v>
      </c>
      <c r="P911" t="s">
        <v>74</v>
      </c>
      <c r="Q911" t="s">
        <v>74</v>
      </c>
      <c r="R911" t="s">
        <v>74</v>
      </c>
      <c r="S911" t="s">
        <v>74</v>
      </c>
      <c r="T911" t="s">
        <v>14902</v>
      </c>
      <c r="U911" t="s">
        <v>14903</v>
      </c>
      <c r="V911" t="s">
        <v>14904</v>
      </c>
      <c r="W911" t="s">
        <v>14905</v>
      </c>
      <c r="X911" t="s">
        <v>14906</v>
      </c>
      <c r="Y911" t="s">
        <v>14907</v>
      </c>
      <c r="Z911" t="s">
        <v>14908</v>
      </c>
      <c r="AA911" t="s">
        <v>14909</v>
      </c>
      <c r="AB911" t="s">
        <v>74</v>
      </c>
      <c r="AC911" t="s">
        <v>74</v>
      </c>
      <c r="AD911" t="s">
        <v>74</v>
      </c>
      <c r="AE911" t="s">
        <v>74</v>
      </c>
      <c r="AF911" t="s">
        <v>74</v>
      </c>
      <c r="AG911">
        <v>36</v>
      </c>
      <c r="AH911">
        <v>10</v>
      </c>
      <c r="AI911">
        <v>11</v>
      </c>
      <c r="AJ911">
        <v>1</v>
      </c>
      <c r="AK911">
        <v>7</v>
      </c>
      <c r="AL911" t="s">
        <v>14910</v>
      </c>
      <c r="AM911" t="s">
        <v>8872</v>
      </c>
      <c r="AN911" t="s">
        <v>14911</v>
      </c>
      <c r="AO911" t="s">
        <v>8874</v>
      </c>
      <c r="AP911" t="s">
        <v>74</v>
      </c>
      <c r="AQ911" t="s">
        <v>74</v>
      </c>
      <c r="AR911" t="s">
        <v>8875</v>
      </c>
      <c r="AS911" t="s">
        <v>8876</v>
      </c>
      <c r="AT911" t="s">
        <v>14896</v>
      </c>
      <c r="AU911">
        <v>2007</v>
      </c>
      <c r="AV911">
        <v>93</v>
      </c>
      <c r="AW911">
        <v>5</v>
      </c>
      <c r="AX911" t="s">
        <v>74</v>
      </c>
      <c r="AY911" t="s">
        <v>74</v>
      </c>
      <c r="AZ911" t="s">
        <v>74</v>
      </c>
      <c r="BA911" t="s">
        <v>74</v>
      </c>
      <c r="BB911">
        <v>654</v>
      </c>
      <c r="BC911">
        <v>659</v>
      </c>
      <c r="BD911" t="s">
        <v>74</v>
      </c>
      <c r="BE911" t="s">
        <v>74</v>
      </c>
      <c r="BF911" t="s">
        <v>74</v>
      </c>
      <c r="BG911" t="s">
        <v>74</v>
      </c>
      <c r="BH911" t="s">
        <v>74</v>
      </c>
      <c r="BI911">
        <v>6</v>
      </c>
      <c r="BJ911" t="s">
        <v>684</v>
      </c>
      <c r="BK911" t="s">
        <v>97</v>
      </c>
      <c r="BL911" t="s">
        <v>685</v>
      </c>
      <c r="BM911" t="s">
        <v>14912</v>
      </c>
      <c r="BN911" t="s">
        <v>74</v>
      </c>
      <c r="BO911" t="s">
        <v>74</v>
      </c>
      <c r="BP911" t="s">
        <v>74</v>
      </c>
      <c r="BQ911" t="s">
        <v>74</v>
      </c>
      <c r="BR911" t="s">
        <v>100</v>
      </c>
      <c r="BS911" t="s">
        <v>14913</v>
      </c>
      <c r="BT911" t="str">
        <f>HYPERLINK("https%3A%2F%2Fwww.webofscience.com%2Fwos%2Fwoscc%2Ffull-record%2FWOS:000249548900021","View Full Record in Web of Science")</f>
        <v>View Full Record in Web of Science</v>
      </c>
    </row>
    <row r="912" spans="1:72" x14ac:dyDescent="0.15">
      <c r="A912" t="s">
        <v>72</v>
      </c>
      <c r="B912" t="s">
        <v>14914</v>
      </c>
      <c r="C912" t="s">
        <v>74</v>
      </c>
      <c r="D912" t="s">
        <v>74</v>
      </c>
      <c r="E912" t="s">
        <v>74</v>
      </c>
      <c r="F912" t="s">
        <v>14915</v>
      </c>
      <c r="G912" t="s">
        <v>74</v>
      </c>
      <c r="H912" t="s">
        <v>74</v>
      </c>
      <c r="I912" t="s">
        <v>14916</v>
      </c>
      <c r="J912" t="s">
        <v>333</v>
      </c>
      <c r="K912" t="s">
        <v>74</v>
      </c>
      <c r="L912" t="s">
        <v>74</v>
      </c>
      <c r="M912" t="s">
        <v>78</v>
      </c>
      <c r="N912" t="s">
        <v>79</v>
      </c>
      <c r="O912" t="s">
        <v>74</v>
      </c>
      <c r="P912" t="s">
        <v>74</v>
      </c>
      <c r="Q912" t="s">
        <v>74</v>
      </c>
      <c r="R912" t="s">
        <v>74</v>
      </c>
      <c r="S912" t="s">
        <v>74</v>
      </c>
      <c r="T912" t="s">
        <v>74</v>
      </c>
      <c r="U912" t="s">
        <v>14917</v>
      </c>
      <c r="V912" t="s">
        <v>14918</v>
      </c>
      <c r="W912" t="s">
        <v>14919</v>
      </c>
      <c r="X912" t="s">
        <v>14920</v>
      </c>
      <c r="Y912" t="s">
        <v>14921</v>
      </c>
      <c r="Z912" t="s">
        <v>11478</v>
      </c>
      <c r="AA912" t="s">
        <v>74</v>
      </c>
      <c r="AB912" t="s">
        <v>74</v>
      </c>
      <c r="AC912" t="s">
        <v>74</v>
      </c>
      <c r="AD912" t="s">
        <v>74</v>
      </c>
      <c r="AE912" t="s">
        <v>74</v>
      </c>
      <c r="AF912" t="s">
        <v>74</v>
      </c>
      <c r="AG912">
        <v>19</v>
      </c>
      <c r="AH912">
        <v>44</v>
      </c>
      <c r="AI912">
        <v>46</v>
      </c>
      <c r="AJ912">
        <v>0</v>
      </c>
      <c r="AK912">
        <v>3</v>
      </c>
      <c r="AL912" t="s">
        <v>193</v>
      </c>
      <c r="AM912" t="s">
        <v>194</v>
      </c>
      <c r="AN912" t="s">
        <v>195</v>
      </c>
      <c r="AO912" t="s">
        <v>344</v>
      </c>
      <c r="AP912" t="s">
        <v>345</v>
      </c>
      <c r="AQ912" t="s">
        <v>74</v>
      </c>
      <c r="AR912" t="s">
        <v>346</v>
      </c>
      <c r="AS912" t="s">
        <v>347</v>
      </c>
      <c r="AT912" t="s">
        <v>14922</v>
      </c>
      <c r="AU912">
        <v>2007</v>
      </c>
      <c r="AV912">
        <v>112</v>
      </c>
      <c r="AW912" t="s">
        <v>14563</v>
      </c>
      <c r="AX912" t="s">
        <v>74</v>
      </c>
      <c r="AY912" t="s">
        <v>74</v>
      </c>
      <c r="AZ912" t="s">
        <v>74</v>
      </c>
      <c r="BA912" t="s">
        <v>74</v>
      </c>
      <c r="BB912" t="s">
        <v>74</v>
      </c>
      <c r="BC912" t="s">
        <v>74</v>
      </c>
      <c r="BD912" t="s">
        <v>14923</v>
      </c>
      <c r="BE912" t="s">
        <v>14924</v>
      </c>
      <c r="BF912" t="str">
        <f>HYPERLINK("http://dx.doi.org/10.1029/2006JA012132","http://dx.doi.org/10.1029/2006JA012132")</f>
        <v>http://dx.doi.org/10.1029/2006JA012132</v>
      </c>
      <c r="BG912" t="s">
        <v>74</v>
      </c>
      <c r="BH912" t="s">
        <v>74</v>
      </c>
      <c r="BI912">
        <v>12</v>
      </c>
      <c r="BJ912" t="s">
        <v>351</v>
      </c>
      <c r="BK912" t="s">
        <v>97</v>
      </c>
      <c r="BL912" t="s">
        <v>351</v>
      </c>
      <c r="BM912" t="s">
        <v>14925</v>
      </c>
      <c r="BN912" t="s">
        <v>74</v>
      </c>
      <c r="BO912" t="s">
        <v>179</v>
      </c>
      <c r="BP912" t="s">
        <v>74</v>
      </c>
      <c r="BQ912" t="s">
        <v>74</v>
      </c>
      <c r="BR912" t="s">
        <v>100</v>
      </c>
      <c r="BS912" t="s">
        <v>14926</v>
      </c>
      <c r="BT912" t="str">
        <f>HYPERLINK("https%3A%2F%2Fwww.webofscience.com%2Fwos%2Fwoscc%2Ffull-record%2FWOS:000249373600003","View Full Record in Web of Science")</f>
        <v>View Full Record in Web of Science</v>
      </c>
    </row>
    <row r="913" spans="1:72" x14ac:dyDescent="0.15">
      <c r="A913" t="s">
        <v>72</v>
      </c>
      <c r="B913" t="s">
        <v>14927</v>
      </c>
      <c r="C913" t="s">
        <v>74</v>
      </c>
      <c r="D913" t="s">
        <v>74</v>
      </c>
      <c r="E913" t="s">
        <v>74</v>
      </c>
      <c r="F913" t="s">
        <v>14928</v>
      </c>
      <c r="G913" t="s">
        <v>74</v>
      </c>
      <c r="H913" t="s">
        <v>74</v>
      </c>
      <c r="I913" t="s">
        <v>14929</v>
      </c>
      <c r="J913" t="s">
        <v>615</v>
      </c>
      <c r="K913" t="s">
        <v>74</v>
      </c>
      <c r="L913" t="s">
        <v>74</v>
      </c>
      <c r="M913" t="s">
        <v>78</v>
      </c>
      <c r="N913" t="s">
        <v>79</v>
      </c>
      <c r="O913" t="s">
        <v>74</v>
      </c>
      <c r="P913" t="s">
        <v>74</v>
      </c>
      <c r="Q913" t="s">
        <v>74</v>
      </c>
      <c r="R913" t="s">
        <v>74</v>
      </c>
      <c r="S913" t="s">
        <v>74</v>
      </c>
      <c r="T913" t="s">
        <v>74</v>
      </c>
      <c r="U913" t="s">
        <v>14930</v>
      </c>
      <c r="V913" t="s">
        <v>14931</v>
      </c>
      <c r="W913" t="s">
        <v>14101</v>
      </c>
      <c r="X913" t="s">
        <v>3094</v>
      </c>
      <c r="Y913" t="s">
        <v>14932</v>
      </c>
      <c r="Z913" t="s">
        <v>74</v>
      </c>
      <c r="AA913" t="s">
        <v>14933</v>
      </c>
      <c r="AB913" t="s">
        <v>14934</v>
      </c>
      <c r="AC913" t="s">
        <v>74</v>
      </c>
      <c r="AD913" t="s">
        <v>74</v>
      </c>
      <c r="AE913" t="s">
        <v>74</v>
      </c>
      <c r="AF913" t="s">
        <v>74</v>
      </c>
      <c r="AG913">
        <v>46</v>
      </c>
      <c r="AH913">
        <v>45</v>
      </c>
      <c r="AI913">
        <v>52</v>
      </c>
      <c r="AJ913">
        <v>0</v>
      </c>
      <c r="AK913">
        <v>7</v>
      </c>
      <c r="AL913" t="s">
        <v>193</v>
      </c>
      <c r="AM913" t="s">
        <v>194</v>
      </c>
      <c r="AN913" t="s">
        <v>195</v>
      </c>
      <c r="AO913" t="s">
        <v>623</v>
      </c>
      <c r="AP913" t="s">
        <v>624</v>
      </c>
      <c r="AQ913" t="s">
        <v>74</v>
      </c>
      <c r="AR913" t="s">
        <v>625</v>
      </c>
      <c r="AS913" t="s">
        <v>626</v>
      </c>
      <c r="AT913" t="s">
        <v>14935</v>
      </c>
      <c r="AU913">
        <v>2007</v>
      </c>
      <c r="AV913">
        <v>112</v>
      </c>
      <c r="AW913" t="s">
        <v>14936</v>
      </c>
      <c r="AX913" t="s">
        <v>74</v>
      </c>
      <c r="AY913" t="s">
        <v>74</v>
      </c>
      <c r="AZ913" t="s">
        <v>74</v>
      </c>
      <c r="BA913" t="s">
        <v>74</v>
      </c>
      <c r="BB913" t="s">
        <v>74</v>
      </c>
      <c r="BC913" t="s">
        <v>74</v>
      </c>
      <c r="BD913" t="s">
        <v>14937</v>
      </c>
      <c r="BE913" t="s">
        <v>14938</v>
      </c>
      <c r="BF913" t="str">
        <f>HYPERLINK("http://dx.doi.org/10.1029/2006JC003882","http://dx.doi.org/10.1029/2006JC003882")</f>
        <v>http://dx.doi.org/10.1029/2006JC003882</v>
      </c>
      <c r="BG913" t="s">
        <v>74</v>
      </c>
      <c r="BH913" t="s">
        <v>74</v>
      </c>
      <c r="BI913">
        <v>15</v>
      </c>
      <c r="BJ913" t="s">
        <v>630</v>
      </c>
      <c r="BK913" t="s">
        <v>97</v>
      </c>
      <c r="BL913" t="s">
        <v>630</v>
      </c>
      <c r="BM913" t="s">
        <v>14939</v>
      </c>
      <c r="BN913" t="s">
        <v>74</v>
      </c>
      <c r="BO913" t="s">
        <v>179</v>
      </c>
      <c r="BP913" t="s">
        <v>74</v>
      </c>
      <c r="BQ913" t="s">
        <v>74</v>
      </c>
      <c r="BR913" t="s">
        <v>100</v>
      </c>
      <c r="BS913" t="s">
        <v>14940</v>
      </c>
      <c r="BT913" t="str">
        <f>HYPERLINK("https%3A%2F%2Fwww.webofscience.com%2Fwos%2Fwoscc%2Ffull-record%2FWOS:000249373000001","View Full Record in Web of Science")</f>
        <v>View Full Record in Web of Science</v>
      </c>
    </row>
    <row r="914" spans="1:72" x14ac:dyDescent="0.15">
      <c r="A914" t="s">
        <v>72</v>
      </c>
      <c r="B914" t="s">
        <v>14941</v>
      </c>
      <c r="C914" t="s">
        <v>74</v>
      </c>
      <c r="D914" t="s">
        <v>74</v>
      </c>
      <c r="E914" t="s">
        <v>74</v>
      </c>
      <c r="F914" t="s">
        <v>14942</v>
      </c>
      <c r="G914" t="s">
        <v>74</v>
      </c>
      <c r="H914" t="s">
        <v>74</v>
      </c>
      <c r="I914" t="s">
        <v>14943</v>
      </c>
      <c r="J914" t="s">
        <v>14944</v>
      </c>
      <c r="K914" t="s">
        <v>74</v>
      </c>
      <c r="L914" t="s">
        <v>74</v>
      </c>
      <c r="M914" t="s">
        <v>78</v>
      </c>
      <c r="N914" t="s">
        <v>79</v>
      </c>
      <c r="O914" t="s">
        <v>74</v>
      </c>
      <c r="P914" t="s">
        <v>74</v>
      </c>
      <c r="Q914" t="s">
        <v>74</v>
      </c>
      <c r="R914" t="s">
        <v>74</v>
      </c>
      <c r="S914" t="s">
        <v>74</v>
      </c>
      <c r="T914" t="s">
        <v>14945</v>
      </c>
      <c r="U914" t="s">
        <v>14946</v>
      </c>
      <c r="V914" t="s">
        <v>14947</v>
      </c>
      <c r="W914" t="s">
        <v>14948</v>
      </c>
      <c r="X914" t="s">
        <v>14949</v>
      </c>
      <c r="Y914" t="s">
        <v>14950</v>
      </c>
      <c r="Z914" t="s">
        <v>14951</v>
      </c>
      <c r="AA914" t="s">
        <v>14952</v>
      </c>
      <c r="AB914" t="s">
        <v>14953</v>
      </c>
      <c r="AC914" t="s">
        <v>74</v>
      </c>
      <c r="AD914" t="s">
        <v>74</v>
      </c>
      <c r="AE914" t="s">
        <v>74</v>
      </c>
      <c r="AF914" t="s">
        <v>74</v>
      </c>
      <c r="AG914">
        <v>64</v>
      </c>
      <c r="AH914">
        <v>128</v>
      </c>
      <c r="AI914">
        <v>138</v>
      </c>
      <c r="AJ914">
        <v>1</v>
      </c>
      <c r="AK914">
        <v>27</v>
      </c>
      <c r="AL914" t="s">
        <v>265</v>
      </c>
      <c r="AM914" t="s">
        <v>266</v>
      </c>
      <c r="AN914" t="s">
        <v>267</v>
      </c>
      <c r="AO914" t="s">
        <v>14954</v>
      </c>
      <c r="AP914" t="s">
        <v>14955</v>
      </c>
      <c r="AQ914" t="s">
        <v>74</v>
      </c>
      <c r="AR914" t="s">
        <v>14956</v>
      </c>
      <c r="AS914" t="s">
        <v>14957</v>
      </c>
      <c r="AT914" t="s">
        <v>14958</v>
      </c>
      <c r="AU914">
        <v>2007</v>
      </c>
      <c r="AV914">
        <v>243</v>
      </c>
      <c r="AW914" t="s">
        <v>150</v>
      </c>
      <c r="AX914" t="s">
        <v>74</v>
      </c>
      <c r="AY914" t="s">
        <v>74</v>
      </c>
      <c r="AZ914" t="s">
        <v>74</v>
      </c>
      <c r="BA914" t="s">
        <v>74</v>
      </c>
      <c r="BB914">
        <v>120</v>
      </c>
      <c r="BC914">
        <v>131</v>
      </c>
      <c r="BD914" t="s">
        <v>74</v>
      </c>
      <c r="BE914" t="s">
        <v>14959</v>
      </c>
      <c r="BF914" t="str">
        <f>HYPERLINK("http://dx.doi.org/10.1016/j.margeo.2007.04.008","http://dx.doi.org/10.1016/j.margeo.2007.04.008")</f>
        <v>http://dx.doi.org/10.1016/j.margeo.2007.04.008</v>
      </c>
      <c r="BG914" t="s">
        <v>74</v>
      </c>
      <c r="BH914" t="s">
        <v>74</v>
      </c>
      <c r="BI914">
        <v>12</v>
      </c>
      <c r="BJ914" t="s">
        <v>9937</v>
      </c>
      <c r="BK914" t="s">
        <v>97</v>
      </c>
      <c r="BL914" t="s">
        <v>2124</v>
      </c>
      <c r="BM914" t="s">
        <v>14960</v>
      </c>
      <c r="BN914" t="s">
        <v>74</v>
      </c>
      <c r="BO914" t="s">
        <v>74</v>
      </c>
      <c r="BP914" t="s">
        <v>74</v>
      </c>
      <c r="BQ914" t="s">
        <v>74</v>
      </c>
      <c r="BR914" t="s">
        <v>100</v>
      </c>
      <c r="BS914" t="s">
        <v>14961</v>
      </c>
      <c r="BT914" t="str">
        <f>HYPERLINK("https%3A%2F%2Fwww.webofscience.com%2Fwos%2Fwoscc%2Ffull-record%2FWOS:000249479300007","View Full Record in Web of Science")</f>
        <v>View Full Record in Web of Science</v>
      </c>
    </row>
    <row r="915" spans="1:72" x14ac:dyDescent="0.15">
      <c r="A915" t="s">
        <v>72</v>
      </c>
      <c r="B915" t="s">
        <v>14962</v>
      </c>
      <c r="C915" t="s">
        <v>74</v>
      </c>
      <c r="D915" t="s">
        <v>74</v>
      </c>
      <c r="E915" t="s">
        <v>74</v>
      </c>
      <c r="F915" t="s">
        <v>14963</v>
      </c>
      <c r="G915" t="s">
        <v>74</v>
      </c>
      <c r="H915" t="s">
        <v>74</v>
      </c>
      <c r="I915" t="s">
        <v>14964</v>
      </c>
      <c r="J915" t="s">
        <v>615</v>
      </c>
      <c r="K915" t="s">
        <v>74</v>
      </c>
      <c r="L915" t="s">
        <v>74</v>
      </c>
      <c r="M915" t="s">
        <v>78</v>
      </c>
      <c r="N915" t="s">
        <v>79</v>
      </c>
      <c r="O915" t="s">
        <v>74</v>
      </c>
      <c r="P915" t="s">
        <v>74</v>
      </c>
      <c r="Q915" t="s">
        <v>74</v>
      </c>
      <c r="R915" t="s">
        <v>74</v>
      </c>
      <c r="S915" t="s">
        <v>74</v>
      </c>
      <c r="T915" t="s">
        <v>74</v>
      </c>
      <c r="U915" t="s">
        <v>14965</v>
      </c>
      <c r="V915" t="s">
        <v>14966</v>
      </c>
      <c r="W915" t="s">
        <v>14967</v>
      </c>
      <c r="X915" t="s">
        <v>14968</v>
      </c>
      <c r="Y915" t="s">
        <v>14969</v>
      </c>
      <c r="Z915" t="s">
        <v>14970</v>
      </c>
      <c r="AA915" t="s">
        <v>74</v>
      </c>
      <c r="AB915" t="s">
        <v>14971</v>
      </c>
      <c r="AC915" t="s">
        <v>74</v>
      </c>
      <c r="AD915" t="s">
        <v>74</v>
      </c>
      <c r="AE915" t="s">
        <v>74</v>
      </c>
      <c r="AF915" t="s">
        <v>74</v>
      </c>
      <c r="AG915">
        <v>53</v>
      </c>
      <c r="AH915">
        <v>11</v>
      </c>
      <c r="AI915">
        <v>11</v>
      </c>
      <c r="AJ915">
        <v>0</v>
      </c>
      <c r="AK915">
        <v>8</v>
      </c>
      <c r="AL915" t="s">
        <v>193</v>
      </c>
      <c r="AM915" t="s">
        <v>194</v>
      </c>
      <c r="AN915" t="s">
        <v>195</v>
      </c>
      <c r="AO915" t="s">
        <v>623</v>
      </c>
      <c r="AP915" t="s">
        <v>624</v>
      </c>
      <c r="AQ915" t="s">
        <v>74</v>
      </c>
      <c r="AR915" t="s">
        <v>625</v>
      </c>
      <c r="AS915" t="s">
        <v>626</v>
      </c>
      <c r="AT915" t="s">
        <v>14972</v>
      </c>
      <c r="AU915">
        <v>2007</v>
      </c>
      <c r="AV915">
        <v>112</v>
      </c>
      <c r="AW915" t="s">
        <v>14936</v>
      </c>
      <c r="AX915" t="s">
        <v>74</v>
      </c>
      <c r="AY915" t="s">
        <v>74</v>
      </c>
      <c r="AZ915" t="s">
        <v>74</v>
      </c>
      <c r="BA915" t="s">
        <v>74</v>
      </c>
      <c r="BB915" t="s">
        <v>74</v>
      </c>
      <c r="BC915" t="s">
        <v>74</v>
      </c>
      <c r="BD915" t="s">
        <v>14973</v>
      </c>
      <c r="BE915" t="s">
        <v>14974</v>
      </c>
      <c r="BF915" t="str">
        <f>HYPERLINK("http://dx.doi.org/10.1029/2006JC003884","http://dx.doi.org/10.1029/2006JC003884")</f>
        <v>http://dx.doi.org/10.1029/2006JC003884</v>
      </c>
      <c r="BG915" t="s">
        <v>74</v>
      </c>
      <c r="BH915" t="s">
        <v>74</v>
      </c>
      <c r="BI915">
        <v>17</v>
      </c>
      <c r="BJ915" t="s">
        <v>630</v>
      </c>
      <c r="BK915" t="s">
        <v>97</v>
      </c>
      <c r="BL915" t="s">
        <v>630</v>
      </c>
      <c r="BM915" t="s">
        <v>14975</v>
      </c>
      <c r="BN915" t="s">
        <v>74</v>
      </c>
      <c r="BO915" t="s">
        <v>1050</v>
      </c>
      <c r="BP915" t="s">
        <v>74</v>
      </c>
      <c r="BQ915" t="s">
        <v>74</v>
      </c>
      <c r="BR915" t="s">
        <v>100</v>
      </c>
      <c r="BS915" t="s">
        <v>14976</v>
      </c>
      <c r="BT915" t="str">
        <f>HYPERLINK("https%3A%2F%2Fwww.webofscience.com%2Fwos%2Fwoscc%2Ffull-record%2FWOS:000249372800001","View Full Record in Web of Science")</f>
        <v>View Full Record in Web of Science</v>
      </c>
    </row>
    <row r="916" spans="1:72" x14ac:dyDescent="0.15">
      <c r="A916" t="s">
        <v>72</v>
      </c>
      <c r="B916" t="s">
        <v>14977</v>
      </c>
      <c r="C916" t="s">
        <v>74</v>
      </c>
      <c r="D916" t="s">
        <v>74</v>
      </c>
      <c r="E916" t="s">
        <v>74</v>
      </c>
      <c r="F916" t="s">
        <v>14978</v>
      </c>
      <c r="G916" t="s">
        <v>74</v>
      </c>
      <c r="H916" t="s">
        <v>74</v>
      </c>
      <c r="I916" t="s">
        <v>14979</v>
      </c>
      <c r="J916" t="s">
        <v>14980</v>
      </c>
      <c r="K916" t="s">
        <v>74</v>
      </c>
      <c r="L916" t="s">
        <v>74</v>
      </c>
      <c r="M916" t="s">
        <v>78</v>
      </c>
      <c r="N916" t="s">
        <v>79</v>
      </c>
      <c r="O916" t="s">
        <v>74</v>
      </c>
      <c r="P916" t="s">
        <v>74</v>
      </c>
      <c r="Q916" t="s">
        <v>74</v>
      </c>
      <c r="R916" t="s">
        <v>74</v>
      </c>
      <c r="S916" t="s">
        <v>74</v>
      </c>
      <c r="T916" t="s">
        <v>74</v>
      </c>
      <c r="U916" t="s">
        <v>14981</v>
      </c>
      <c r="V916" t="s">
        <v>14982</v>
      </c>
      <c r="W916" t="s">
        <v>14983</v>
      </c>
      <c r="X916" t="s">
        <v>260</v>
      </c>
      <c r="Y916" t="s">
        <v>14984</v>
      </c>
      <c r="Z916" t="s">
        <v>6452</v>
      </c>
      <c r="AA916" t="s">
        <v>14985</v>
      </c>
      <c r="AB916" t="s">
        <v>14986</v>
      </c>
      <c r="AC916" t="s">
        <v>14987</v>
      </c>
      <c r="AD916" t="s">
        <v>14988</v>
      </c>
      <c r="AE916" t="s">
        <v>14989</v>
      </c>
      <c r="AF916" t="s">
        <v>74</v>
      </c>
      <c r="AG916">
        <v>56</v>
      </c>
      <c r="AH916">
        <v>168</v>
      </c>
      <c r="AI916">
        <v>202</v>
      </c>
      <c r="AJ916">
        <v>2</v>
      </c>
      <c r="AK916">
        <v>76</v>
      </c>
      <c r="AL916" t="s">
        <v>14990</v>
      </c>
      <c r="AM916" t="s">
        <v>14991</v>
      </c>
      <c r="AN916" t="s">
        <v>14992</v>
      </c>
      <c r="AO916" t="s">
        <v>14993</v>
      </c>
      <c r="AP916" t="s">
        <v>74</v>
      </c>
      <c r="AQ916" t="s">
        <v>74</v>
      </c>
      <c r="AR916" t="s">
        <v>14980</v>
      </c>
      <c r="AS916" t="s">
        <v>14994</v>
      </c>
      <c r="AT916" t="s">
        <v>14972</v>
      </c>
      <c r="AU916">
        <v>2007</v>
      </c>
      <c r="AV916">
        <v>2</v>
      </c>
      <c r="AW916">
        <v>9</v>
      </c>
      <c r="AX916" t="s">
        <v>74</v>
      </c>
      <c r="AY916" t="s">
        <v>74</v>
      </c>
      <c r="AZ916" t="s">
        <v>74</v>
      </c>
      <c r="BA916" t="s">
        <v>74</v>
      </c>
      <c r="BB916" t="s">
        <v>74</v>
      </c>
      <c r="BC916" t="s">
        <v>74</v>
      </c>
      <c r="BD916" t="s">
        <v>14995</v>
      </c>
      <c r="BE916" t="s">
        <v>14996</v>
      </c>
      <c r="BF916" t="str">
        <f>HYPERLINK("http://dx.doi.org/10.1371/journal.pone.0000831","http://dx.doi.org/10.1371/journal.pone.0000831")</f>
        <v>http://dx.doi.org/10.1371/journal.pone.0000831</v>
      </c>
      <c r="BG916" t="s">
        <v>74</v>
      </c>
      <c r="BH916" t="s">
        <v>74</v>
      </c>
      <c r="BI916">
        <v>10</v>
      </c>
      <c r="BJ916" t="s">
        <v>684</v>
      </c>
      <c r="BK916" t="s">
        <v>97</v>
      </c>
      <c r="BL916" t="s">
        <v>685</v>
      </c>
      <c r="BM916" t="s">
        <v>14997</v>
      </c>
      <c r="BN916">
        <v>17786203</v>
      </c>
      <c r="BO916" t="s">
        <v>14998</v>
      </c>
      <c r="BP916" t="s">
        <v>74</v>
      </c>
      <c r="BQ916" t="s">
        <v>74</v>
      </c>
      <c r="BR916" t="s">
        <v>100</v>
      </c>
      <c r="BS916" t="s">
        <v>14999</v>
      </c>
      <c r="BT916" t="str">
        <f>HYPERLINK("https%3A%2F%2Fwww.webofscience.com%2Fwos%2Fwoscc%2Ffull-record%2FWOS:000207455500015","View Full Record in Web of Science")</f>
        <v>View Full Record in Web of Science</v>
      </c>
    </row>
    <row r="917" spans="1:72" x14ac:dyDescent="0.15">
      <c r="A917" t="s">
        <v>72</v>
      </c>
      <c r="B917" t="s">
        <v>15000</v>
      </c>
      <c r="C917" t="s">
        <v>74</v>
      </c>
      <c r="D917" t="s">
        <v>74</v>
      </c>
      <c r="E917" t="s">
        <v>74</v>
      </c>
      <c r="F917" t="s">
        <v>15001</v>
      </c>
      <c r="G917" t="s">
        <v>74</v>
      </c>
      <c r="H917" t="s">
        <v>74</v>
      </c>
      <c r="I917" t="s">
        <v>15002</v>
      </c>
      <c r="J917" t="s">
        <v>11519</v>
      </c>
      <c r="K917" t="s">
        <v>74</v>
      </c>
      <c r="L917" t="s">
        <v>74</v>
      </c>
      <c r="M917" t="s">
        <v>78</v>
      </c>
      <c r="N917" t="s">
        <v>79</v>
      </c>
      <c r="O917" t="s">
        <v>74</v>
      </c>
      <c r="P917" t="s">
        <v>74</v>
      </c>
      <c r="Q917" t="s">
        <v>74</v>
      </c>
      <c r="R917" t="s">
        <v>74</v>
      </c>
      <c r="S917" t="s">
        <v>74</v>
      </c>
      <c r="T917" t="s">
        <v>15003</v>
      </c>
      <c r="U917" t="s">
        <v>15004</v>
      </c>
      <c r="V917" t="s">
        <v>15005</v>
      </c>
      <c r="W917" t="s">
        <v>15006</v>
      </c>
      <c r="X917" t="s">
        <v>15007</v>
      </c>
      <c r="Y917" t="s">
        <v>15008</v>
      </c>
      <c r="Z917" t="s">
        <v>15009</v>
      </c>
      <c r="AA917" t="s">
        <v>15010</v>
      </c>
      <c r="AB917" t="s">
        <v>15011</v>
      </c>
      <c r="AC917" t="s">
        <v>74</v>
      </c>
      <c r="AD917" t="s">
        <v>74</v>
      </c>
      <c r="AE917" t="s">
        <v>74</v>
      </c>
      <c r="AF917" t="s">
        <v>74</v>
      </c>
      <c r="AG917">
        <v>37</v>
      </c>
      <c r="AH917">
        <v>2</v>
      </c>
      <c r="AI917">
        <v>3</v>
      </c>
      <c r="AJ917">
        <v>0</v>
      </c>
      <c r="AK917">
        <v>8</v>
      </c>
      <c r="AL917" t="s">
        <v>2958</v>
      </c>
      <c r="AM917" t="s">
        <v>2939</v>
      </c>
      <c r="AN917" t="s">
        <v>2940</v>
      </c>
      <c r="AO917" t="s">
        <v>11531</v>
      </c>
      <c r="AP917" t="s">
        <v>11532</v>
      </c>
      <c r="AQ917" t="s">
        <v>74</v>
      </c>
      <c r="AR917" t="s">
        <v>11533</v>
      </c>
      <c r="AS917" t="s">
        <v>11534</v>
      </c>
      <c r="AT917" t="s">
        <v>15012</v>
      </c>
      <c r="AU917">
        <v>2007</v>
      </c>
      <c r="AV917">
        <v>24</v>
      </c>
      <c r="AW917">
        <v>5</v>
      </c>
      <c r="AX917" t="s">
        <v>74</v>
      </c>
      <c r="AY917" t="s">
        <v>74</v>
      </c>
      <c r="AZ917" t="s">
        <v>74</v>
      </c>
      <c r="BA917" t="s">
        <v>74</v>
      </c>
      <c r="BB917">
        <v>819</v>
      </c>
      <c r="BC917">
        <v>832</v>
      </c>
      <c r="BD917" t="s">
        <v>74</v>
      </c>
      <c r="BE917" t="s">
        <v>15013</v>
      </c>
      <c r="BF917" t="str">
        <f>HYPERLINK("http://dx.doi.org/10.1007/s00376-007-0819-x","http://dx.doi.org/10.1007/s00376-007-0819-x")</f>
        <v>http://dx.doi.org/10.1007/s00376-007-0819-x</v>
      </c>
      <c r="BG917" t="s">
        <v>74</v>
      </c>
      <c r="BH917" t="s">
        <v>74</v>
      </c>
      <c r="BI917">
        <v>14</v>
      </c>
      <c r="BJ917" t="s">
        <v>204</v>
      </c>
      <c r="BK917" t="s">
        <v>97</v>
      </c>
      <c r="BL917" t="s">
        <v>204</v>
      </c>
      <c r="BM917" t="s">
        <v>15014</v>
      </c>
      <c r="BN917" t="s">
        <v>74</v>
      </c>
      <c r="BO917" t="s">
        <v>74</v>
      </c>
      <c r="BP917" t="s">
        <v>74</v>
      </c>
      <c r="BQ917" t="s">
        <v>74</v>
      </c>
      <c r="BR917" t="s">
        <v>100</v>
      </c>
      <c r="BS917" t="s">
        <v>15015</v>
      </c>
      <c r="BT917" t="str">
        <f>HYPERLINK("https%3A%2F%2Fwww.webofscience.com%2Fwos%2Fwoscc%2Ffull-record%2FWOS:000249569100007","View Full Record in Web of Science")</f>
        <v>View Full Record in Web of Science</v>
      </c>
    </row>
    <row r="918" spans="1:72" x14ac:dyDescent="0.15">
      <c r="A918" t="s">
        <v>72</v>
      </c>
      <c r="B918" t="s">
        <v>15016</v>
      </c>
      <c r="C918" t="s">
        <v>74</v>
      </c>
      <c r="D918" t="s">
        <v>74</v>
      </c>
      <c r="E918" t="s">
        <v>74</v>
      </c>
      <c r="F918" t="s">
        <v>15017</v>
      </c>
      <c r="G918" t="s">
        <v>74</v>
      </c>
      <c r="H918" t="s">
        <v>74</v>
      </c>
      <c r="I918" t="s">
        <v>15018</v>
      </c>
      <c r="J918" t="s">
        <v>9312</v>
      </c>
      <c r="K918" t="s">
        <v>74</v>
      </c>
      <c r="L918" t="s">
        <v>74</v>
      </c>
      <c r="M918" t="s">
        <v>78</v>
      </c>
      <c r="N918" t="s">
        <v>438</v>
      </c>
      <c r="O918" t="s">
        <v>74</v>
      </c>
      <c r="P918" t="s">
        <v>74</v>
      </c>
      <c r="Q918" t="s">
        <v>74</v>
      </c>
      <c r="R918" t="s">
        <v>74</v>
      </c>
      <c r="S918" t="s">
        <v>74</v>
      </c>
      <c r="T918" t="s">
        <v>74</v>
      </c>
      <c r="U918" t="s">
        <v>74</v>
      </c>
      <c r="V918" t="s">
        <v>74</v>
      </c>
      <c r="W918" t="s">
        <v>74</v>
      </c>
      <c r="X918" t="s">
        <v>74</v>
      </c>
      <c r="Y918" t="s">
        <v>74</v>
      </c>
      <c r="Z918" t="s">
        <v>74</v>
      </c>
      <c r="AA918" t="s">
        <v>9480</v>
      </c>
      <c r="AB918" t="s">
        <v>15019</v>
      </c>
      <c r="AC918" t="s">
        <v>74</v>
      </c>
      <c r="AD918" t="s">
        <v>74</v>
      </c>
      <c r="AE918" t="s">
        <v>74</v>
      </c>
      <c r="AF918" t="s">
        <v>74</v>
      </c>
      <c r="AG918">
        <v>0</v>
      </c>
      <c r="AH918">
        <v>0</v>
      </c>
      <c r="AI918">
        <v>0</v>
      </c>
      <c r="AJ918">
        <v>0</v>
      </c>
      <c r="AK918">
        <v>2</v>
      </c>
      <c r="AL918" t="s">
        <v>2556</v>
      </c>
      <c r="AM918" t="s">
        <v>662</v>
      </c>
      <c r="AN918" t="s">
        <v>4911</v>
      </c>
      <c r="AO918" t="s">
        <v>9313</v>
      </c>
      <c r="AP918" t="s">
        <v>74</v>
      </c>
      <c r="AQ918" t="s">
        <v>74</v>
      </c>
      <c r="AR918" t="s">
        <v>9315</v>
      </c>
      <c r="AS918" t="s">
        <v>9316</v>
      </c>
      <c r="AT918" t="s">
        <v>15012</v>
      </c>
      <c r="AU918">
        <v>2007</v>
      </c>
      <c r="AV918">
        <v>19</v>
      </c>
      <c r="AW918">
        <v>3</v>
      </c>
      <c r="AX918" t="s">
        <v>74</v>
      </c>
      <c r="AY918" t="s">
        <v>74</v>
      </c>
      <c r="AZ918" t="s">
        <v>74</v>
      </c>
      <c r="BA918" t="s">
        <v>74</v>
      </c>
      <c r="BB918">
        <v>281</v>
      </c>
      <c r="BC918">
        <v>281</v>
      </c>
      <c r="BD918" t="s">
        <v>74</v>
      </c>
      <c r="BE918" t="s">
        <v>15020</v>
      </c>
      <c r="BF918" t="str">
        <f>HYPERLINK("http://dx.doi.org/10.1017/S0954102007000636","http://dx.doi.org/10.1017/S0954102007000636")</f>
        <v>http://dx.doi.org/10.1017/S0954102007000636</v>
      </c>
      <c r="BG918" t="s">
        <v>74</v>
      </c>
      <c r="BH918" t="s">
        <v>74</v>
      </c>
      <c r="BI918">
        <v>1</v>
      </c>
      <c r="BJ918" t="s">
        <v>9318</v>
      </c>
      <c r="BK918" t="s">
        <v>97</v>
      </c>
      <c r="BL918" t="s">
        <v>9319</v>
      </c>
      <c r="BM918" t="s">
        <v>15021</v>
      </c>
      <c r="BN918" t="s">
        <v>74</v>
      </c>
      <c r="BO918" t="s">
        <v>179</v>
      </c>
      <c r="BP918" t="s">
        <v>74</v>
      </c>
      <c r="BQ918" t="s">
        <v>74</v>
      </c>
      <c r="BR918" t="s">
        <v>100</v>
      </c>
      <c r="BS918" t="s">
        <v>15022</v>
      </c>
      <c r="BT918" t="str">
        <f>HYPERLINK("https%3A%2F%2Fwww.webofscience.com%2Fwos%2Fwoscc%2Ffull-record%2FWOS:000250068600001","View Full Record in Web of Science")</f>
        <v>View Full Record in Web of Science</v>
      </c>
    </row>
    <row r="919" spans="1:72" x14ac:dyDescent="0.15">
      <c r="A919" t="s">
        <v>72</v>
      </c>
      <c r="B919" t="s">
        <v>15023</v>
      </c>
      <c r="C919" t="s">
        <v>74</v>
      </c>
      <c r="D919" t="s">
        <v>74</v>
      </c>
      <c r="E919" t="s">
        <v>74</v>
      </c>
      <c r="F919" t="s">
        <v>15024</v>
      </c>
      <c r="G919" t="s">
        <v>74</v>
      </c>
      <c r="H919" t="s">
        <v>74</v>
      </c>
      <c r="I919" t="s">
        <v>15025</v>
      </c>
      <c r="J919" t="s">
        <v>9312</v>
      </c>
      <c r="K919" t="s">
        <v>74</v>
      </c>
      <c r="L919" t="s">
        <v>74</v>
      </c>
      <c r="M919" t="s">
        <v>78</v>
      </c>
      <c r="N919" t="s">
        <v>79</v>
      </c>
      <c r="O919" t="s">
        <v>74</v>
      </c>
      <c r="P919" t="s">
        <v>74</v>
      </c>
      <c r="Q919" t="s">
        <v>74</v>
      </c>
      <c r="R919" t="s">
        <v>74</v>
      </c>
      <c r="S919" t="s">
        <v>74</v>
      </c>
      <c r="T919" t="s">
        <v>15026</v>
      </c>
      <c r="U919" t="s">
        <v>15027</v>
      </c>
      <c r="V919" t="s">
        <v>15028</v>
      </c>
      <c r="W919" t="s">
        <v>15029</v>
      </c>
      <c r="X919" t="s">
        <v>15030</v>
      </c>
      <c r="Y919" t="s">
        <v>15031</v>
      </c>
      <c r="Z919" t="s">
        <v>15032</v>
      </c>
      <c r="AA919" t="s">
        <v>15033</v>
      </c>
      <c r="AB919" t="s">
        <v>15034</v>
      </c>
      <c r="AC919" t="s">
        <v>74</v>
      </c>
      <c r="AD919" t="s">
        <v>74</v>
      </c>
      <c r="AE919" t="s">
        <v>74</v>
      </c>
      <c r="AF919" t="s">
        <v>74</v>
      </c>
      <c r="AG919">
        <v>93</v>
      </c>
      <c r="AH919">
        <v>92</v>
      </c>
      <c r="AI919">
        <v>103</v>
      </c>
      <c r="AJ919">
        <v>1</v>
      </c>
      <c r="AK919">
        <v>66</v>
      </c>
      <c r="AL919" t="s">
        <v>2556</v>
      </c>
      <c r="AM919" t="s">
        <v>662</v>
      </c>
      <c r="AN919" t="s">
        <v>4911</v>
      </c>
      <c r="AO919" t="s">
        <v>9313</v>
      </c>
      <c r="AP919" t="s">
        <v>9314</v>
      </c>
      <c r="AQ919" t="s">
        <v>74</v>
      </c>
      <c r="AR919" t="s">
        <v>9315</v>
      </c>
      <c r="AS919" t="s">
        <v>9316</v>
      </c>
      <c r="AT919" t="s">
        <v>15012</v>
      </c>
      <c r="AU919">
        <v>2007</v>
      </c>
      <c r="AV919">
        <v>19</v>
      </c>
      <c r="AW919">
        <v>3</v>
      </c>
      <c r="AX919" t="s">
        <v>74</v>
      </c>
      <c r="AY919" t="s">
        <v>74</v>
      </c>
      <c r="AZ919" t="s">
        <v>74</v>
      </c>
      <c r="BA919" t="s">
        <v>74</v>
      </c>
      <c r="BB919">
        <v>283</v>
      </c>
      <c r="BC919">
        <v>290</v>
      </c>
      <c r="BD919" t="s">
        <v>74</v>
      </c>
      <c r="BE919" t="s">
        <v>15035</v>
      </c>
      <c r="BF919" t="str">
        <f>HYPERLINK("http://dx.doi.org/10.1017/S095410200700051X","http://dx.doi.org/10.1017/S095410200700051X")</f>
        <v>http://dx.doi.org/10.1017/S095410200700051X</v>
      </c>
      <c r="BG919" t="s">
        <v>74</v>
      </c>
      <c r="BH919" t="s">
        <v>74</v>
      </c>
      <c r="BI919">
        <v>8</v>
      </c>
      <c r="BJ919" t="s">
        <v>9318</v>
      </c>
      <c r="BK919" t="s">
        <v>97</v>
      </c>
      <c r="BL919" t="s">
        <v>9319</v>
      </c>
      <c r="BM919" t="s">
        <v>15021</v>
      </c>
      <c r="BN919" t="s">
        <v>74</v>
      </c>
      <c r="BO919" t="s">
        <v>74</v>
      </c>
      <c r="BP919" t="s">
        <v>74</v>
      </c>
      <c r="BQ919" t="s">
        <v>74</v>
      </c>
      <c r="BR919" t="s">
        <v>100</v>
      </c>
      <c r="BS919" t="s">
        <v>15036</v>
      </c>
      <c r="BT919" t="str">
        <f>HYPERLINK("https%3A%2F%2Fwww.webofscience.com%2Fwos%2Fwoscc%2Ffull-record%2FWOS:000250068600002","View Full Record in Web of Science")</f>
        <v>View Full Record in Web of Science</v>
      </c>
    </row>
    <row r="920" spans="1:72" x14ac:dyDescent="0.15">
      <c r="A920" t="s">
        <v>72</v>
      </c>
      <c r="B920" t="s">
        <v>15037</v>
      </c>
      <c r="C920" t="s">
        <v>74</v>
      </c>
      <c r="D920" t="s">
        <v>74</v>
      </c>
      <c r="E920" t="s">
        <v>74</v>
      </c>
      <c r="F920" t="s">
        <v>15038</v>
      </c>
      <c r="G920" t="s">
        <v>74</v>
      </c>
      <c r="H920" t="s">
        <v>74</v>
      </c>
      <c r="I920" t="s">
        <v>15039</v>
      </c>
      <c r="J920" t="s">
        <v>9312</v>
      </c>
      <c r="K920" t="s">
        <v>74</v>
      </c>
      <c r="L920" t="s">
        <v>74</v>
      </c>
      <c r="M920" t="s">
        <v>78</v>
      </c>
      <c r="N920" t="s">
        <v>79</v>
      </c>
      <c r="O920" t="s">
        <v>74</v>
      </c>
      <c r="P920" t="s">
        <v>74</v>
      </c>
      <c r="Q920" t="s">
        <v>74</v>
      </c>
      <c r="R920" t="s">
        <v>74</v>
      </c>
      <c r="S920" t="s">
        <v>74</v>
      </c>
      <c r="T920" t="s">
        <v>15040</v>
      </c>
      <c r="U920" t="s">
        <v>15041</v>
      </c>
      <c r="V920" t="s">
        <v>15042</v>
      </c>
      <c r="W920" t="s">
        <v>15043</v>
      </c>
      <c r="X920" t="s">
        <v>15044</v>
      </c>
      <c r="Y920" t="s">
        <v>15045</v>
      </c>
      <c r="Z920" t="s">
        <v>15046</v>
      </c>
      <c r="AA920" t="s">
        <v>8700</v>
      </c>
      <c r="AB920" t="s">
        <v>74</v>
      </c>
      <c r="AC920" t="s">
        <v>2597</v>
      </c>
      <c r="AD920" t="s">
        <v>242</v>
      </c>
      <c r="AE920" t="s">
        <v>74</v>
      </c>
      <c r="AF920" t="s">
        <v>74</v>
      </c>
      <c r="AG920">
        <v>46</v>
      </c>
      <c r="AH920">
        <v>30</v>
      </c>
      <c r="AI920">
        <v>33</v>
      </c>
      <c r="AJ920">
        <v>3</v>
      </c>
      <c r="AK920">
        <v>19</v>
      </c>
      <c r="AL920" t="s">
        <v>2556</v>
      </c>
      <c r="AM920" t="s">
        <v>662</v>
      </c>
      <c r="AN920" t="s">
        <v>4911</v>
      </c>
      <c r="AO920" t="s">
        <v>9313</v>
      </c>
      <c r="AP920" t="s">
        <v>9314</v>
      </c>
      <c r="AQ920" t="s">
        <v>74</v>
      </c>
      <c r="AR920" t="s">
        <v>9315</v>
      </c>
      <c r="AS920" t="s">
        <v>9316</v>
      </c>
      <c r="AT920" t="s">
        <v>15012</v>
      </c>
      <c r="AU920">
        <v>2007</v>
      </c>
      <c r="AV920">
        <v>19</v>
      </c>
      <c r="AW920">
        <v>3</v>
      </c>
      <c r="AX920" t="s">
        <v>74</v>
      </c>
      <c r="AY920" t="s">
        <v>74</v>
      </c>
      <c r="AZ920" t="s">
        <v>74</v>
      </c>
      <c r="BA920" t="s">
        <v>74</v>
      </c>
      <c r="BB920">
        <v>291</v>
      </c>
      <c r="BC920">
        <v>295</v>
      </c>
      <c r="BD920" t="s">
        <v>74</v>
      </c>
      <c r="BE920" t="s">
        <v>15047</v>
      </c>
      <c r="BF920" t="str">
        <f>HYPERLINK("http://dx.doi.org/10.1017/S0954102007000491","http://dx.doi.org/10.1017/S0954102007000491")</f>
        <v>http://dx.doi.org/10.1017/S0954102007000491</v>
      </c>
      <c r="BG920" t="s">
        <v>74</v>
      </c>
      <c r="BH920" t="s">
        <v>74</v>
      </c>
      <c r="BI920">
        <v>5</v>
      </c>
      <c r="BJ920" t="s">
        <v>9318</v>
      </c>
      <c r="BK920" t="s">
        <v>97</v>
      </c>
      <c r="BL920" t="s">
        <v>9319</v>
      </c>
      <c r="BM920" t="s">
        <v>15021</v>
      </c>
      <c r="BN920" t="s">
        <v>74</v>
      </c>
      <c r="BO920" t="s">
        <v>74</v>
      </c>
      <c r="BP920" t="s">
        <v>74</v>
      </c>
      <c r="BQ920" t="s">
        <v>74</v>
      </c>
      <c r="BR920" t="s">
        <v>100</v>
      </c>
      <c r="BS920" t="s">
        <v>15048</v>
      </c>
      <c r="BT920" t="str">
        <f>HYPERLINK("https%3A%2F%2Fwww.webofscience.com%2Fwos%2Fwoscc%2Ffull-record%2FWOS:000250068600003","View Full Record in Web of Science")</f>
        <v>View Full Record in Web of Science</v>
      </c>
    </row>
    <row r="921" spans="1:72" x14ac:dyDescent="0.15">
      <c r="A921" t="s">
        <v>72</v>
      </c>
      <c r="B921" t="s">
        <v>15049</v>
      </c>
      <c r="C921" t="s">
        <v>74</v>
      </c>
      <c r="D921" t="s">
        <v>74</v>
      </c>
      <c r="E921" t="s">
        <v>74</v>
      </c>
      <c r="F921" t="s">
        <v>15050</v>
      </c>
      <c r="G921" t="s">
        <v>74</v>
      </c>
      <c r="H921" t="s">
        <v>74</v>
      </c>
      <c r="I921" t="s">
        <v>15051</v>
      </c>
      <c r="J921" t="s">
        <v>9312</v>
      </c>
      <c r="K921" t="s">
        <v>74</v>
      </c>
      <c r="L921" t="s">
        <v>74</v>
      </c>
      <c r="M921" t="s">
        <v>78</v>
      </c>
      <c r="N921" t="s">
        <v>79</v>
      </c>
      <c r="O921" t="s">
        <v>74</v>
      </c>
      <c r="P921" t="s">
        <v>74</v>
      </c>
      <c r="Q921" t="s">
        <v>74</v>
      </c>
      <c r="R921" t="s">
        <v>74</v>
      </c>
      <c r="S921" t="s">
        <v>74</v>
      </c>
      <c r="T921" t="s">
        <v>15052</v>
      </c>
      <c r="U921" t="s">
        <v>15053</v>
      </c>
      <c r="V921" t="s">
        <v>15054</v>
      </c>
      <c r="W921" t="s">
        <v>15055</v>
      </c>
      <c r="X921" t="s">
        <v>15056</v>
      </c>
      <c r="Y921" t="s">
        <v>15057</v>
      </c>
      <c r="Z921" t="s">
        <v>15058</v>
      </c>
      <c r="AA921" t="s">
        <v>7177</v>
      </c>
      <c r="AB921" t="s">
        <v>74</v>
      </c>
      <c r="AC921" t="s">
        <v>74</v>
      </c>
      <c r="AD921" t="s">
        <v>74</v>
      </c>
      <c r="AE921" t="s">
        <v>74</v>
      </c>
      <c r="AF921" t="s">
        <v>74</v>
      </c>
      <c r="AG921">
        <v>76</v>
      </c>
      <c r="AH921">
        <v>9</v>
      </c>
      <c r="AI921">
        <v>9</v>
      </c>
      <c r="AJ921">
        <v>0</v>
      </c>
      <c r="AK921">
        <v>4</v>
      </c>
      <c r="AL921" t="s">
        <v>2556</v>
      </c>
      <c r="AM921" t="s">
        <v>662</v>
      </c>
      <c r="AN921" t="s">
        <v>4911</v>
      </c>
      <c r="AO921" t="s">
        <v>9313</v>
      </c>
      <c r="AP921" t="s">
        <v>9314</v>
      </c>
      <c r="AQ921" t="s">
        <v>74</v>
      </c>
      <c r="AR921" t="s">
        <v>9315</v>
      </c>
      <c r="AS921" t="s">
        <v>9316</v>
      </c>
      <c r="AT921" t="s">
        <v>15012</v>
      </c>
      <c r="AU921">
        <v>2007</v>
      </c>
      <c r="AV921">
        <v>19</v>
      </c>
      <c r="AW921">
        <v>3</v>
      </c>
      <c r="AX921" t="s">
        <v>74</v>
      </c>
      <c r="AY921" t="s">
        <v>74</v>
      </c>
      <c r="AZ921" t="s">
        <v>74</v>
      </c>
      <c r="BA921" t="s">
        <v>74</v>
      </c>
      <c r="BB921">
        <v>297</v>
      </c>
      <c r="BC921">
        <v>309</v>
      </c>
      <c r="BD921" t="s">
        <v>74</v>
      </c>
      <c r="BE921" t="s">
        <v>15059</v>
      </c>
      <c r="BF921" t="str">
        <f>HYPERLINK("http://dx.doi.org/10.1017/S0954102007000533","http://dx.doi.org/10.1017/S0954102007000533")</f>
        <v>http://dx.doi.org/10.1017/S0954102007000533</v>
      </c>
      <c r="BG921" t="s">
        <v>74</v>
      </c>
      <c r="BH921" t="s">
        <v>74</v>
      </c>
      <c r="BI921">
        <v>13</v>
      </c>
      <c r="BJ921" t="s">
        <v>9318</v>
      </c>
      <c r="BK921" t="s">
        <v>97</v>
      </c>
      <c r="BL921" t="s">
        <v>9319</v>
      </c>
      <c r="BM921" t="s">
        <v>15021</v>
      </c>
      <c r="BN921" t="s">
        <v>74</v>
      </c>
      <c r="BO921" t="s">
        <v>74</v>
      </c>
      <c r="BP921" t="s">
        <v>74</v>
      </c>
      <c r="BQ921" t="s">
        <v>74</v>
      </c>
      <c r="BR921" t="s">
        <v>100</v>
      </c>
      <c r="BS921" t="s">
        <v>15060</v>
      </c>
      <c r="BT921" t="str">
        <f>HYPERLINK("https%3A%2F%2Fwww.webofscience.com%2Fwos%2Fwoscc%2Ffull-record%2FWOS:000250068600004","View Full Record in Web of Science")</f>
        <v>View Full Record in Web of Science</v>
      </c>
    </row>
    <row r="922" spans="1:72" x14ac:dyDescent="0.15">
      <c r="A922" t="s">
        <v>72</v>
      </c>
      <c r="B922" t="s">
        <v>15061</v>
      </c>
      <c r="C922" t="s">
        <v>74</v>
      </c>
      <c r="D922" t="s">
        <v>74</v>
      </c>
      <c r="E922" t="s">
        <v>74</v>
      </c>
      <c r="F922" t="s">
        <v>15062</v>
      </c>
      <c r="G922" t="s">
        <v>74</v>
      </c>
      <c r="H922" t="s">
        <v>74</v>
      </c>
      <c r="I922" t="s">
        <v>15063</v>
      </c>
      <c r="J922" t="s">
        <v>9312</v>
      </c>
      <c r="K922" t="s">
        <v>74</v>
      </c>
      <c r="L922" t="s">
        <v>74</v>
      </c>
      <c r="M922" t="s">
        <v>78</v>
      </c>
      <c r="N922" t="s">
        <v>79</v>
      </c>
      <c r="O922" t="s">
        <v>74</v>
      </c>
      <c r="P922" t="s">
        <v>74</v>
      </c>
      <c r="Q922" t="s">
        <v>74</v>
      </c>
      <c r="R922" t="s">
        <v>74</v>
      </c>
      <c r="S922" t="s">
        <v>74</v>
      </c>
      <c r="T922" t="s">
        <v>15064</v>
      </c>
      <c r="U922" t="s">
        <v>15065</v>
      </c>
      <c r="V922" t="s">
        <v>15066</v>
      </c>
      <c r="W922" t="s">
        <v>15067</v>
      </c>
      <c r="X922" t="s">
        <v>15068</v>
      </c>
      <c r="Y922" t="s">
        <v>15069</v>
      </c>
      <c r="Z922" t="s">
        <v>15070</v>
      </c>
      <c r="AA922" t="s">
        <v>74</v>
      </c>
      <c r="AB922" t="s">
        <v>15071</v>
      </c>
      <c r="AC922" t="s">
        <v>74</v>
      </c>
      <c r="AD922" t="s">
        <v>74</v>
      </c>
      <c r="AE922" t="s">
        <v>74</v>
      </c>
      <c r="AF922" t="s">
        <v>74</v>
      </c>
      <c r="AG922">
        <v>23</v>
      </c>
      <c r="AH922">
        <v>14</v>
      </c>
      <c r="AI922">
        <v>15</v>
      </c>
      <c r="AJ922">
        <v>0</v>
      </c>
      <c r="AK922">
        <v>14</v>
      </c>
      <c r="AL922" t="s">
        <v>2556</v>
      </c>
      <c r="AM922" t="s">
        <v>662</v>
      </c>
      <c r="AN922" t="s">
        <v>4911</v>
      </c>
      <c r="AO922" t="s">
        <v>9313</v>
      </c>
      <c r="AP922" t="s">
        <v>74</v>
      </c>
      <c r="AQ922" t="s">
        <v>74</v>
      </c>
      <c r="AR922" t="s">
        <v>9315</v>
      </c>
      <c r="AS922" t="s">
        <v>9316</v>
      </c>
      <c r="AT922" t="s">
        <v>15012</v>
      </c>
      <c r="AU922">
        <v>2007</v>
      </c>
      <c r="AV922">
        <v>19</v>
      </c>
      <c r="AW922">
        <v>3</v>
      </c>
      <c r="AX922" t="s">
        <v>74</v>
      </c>
      <c r="AY922" t="s">
        <v>74</v>
      </c>
      <c r="AZ922" t="s">
        <v>74</v>
      </c>
      <c r="BA922" t="s">
        <v>74</v>
      </c>
      <c r="BB922">
        <v>311</v>
      </c>
      <c r="BC922">
        <v>319</v>
      </c>
      <c r="BD922" t="s">
        <v>74</v>
      </c>
      <c r="BE922" t="s">
        <v>15072</v>
      </c>
      <c r="BF922" t="str">
        <f>HYPERLINK("http://dx.doi.org/10.1017/S0954102007000417","http://dx.doi.org/10.1017/S0954102007000417")</f>
        <v>http://dx.doi.org/10.1017/S0954102007000417</v>
      </c>
      <c r="BG922" t="s">
        <v>74</v>
      </c>
      <c r="BH922" t="s">
        <v>74</v>
      </c>
      <c r="BI922">
        <v>9</v>
      </c>
      <c r="BJ922" t="s">
        <v>9318</v>
      </c>
      <c r="BK922" t="s">
        <v>97</v>
      </c>
      <c r="BL922" t="s">
        <v>9319</v>
      </c>
      <c r="BM922" t="s">
        <v>15021</v>
      </c>
      <c r="BN922" t="s">
        <v>74</v>
      </c>
      <c r="BO922" t="s">
        <v>74</v>
      </c>
      <c r="BP922" t="s">
        <v>74</v>
      </c>
      <c r="BQ922" t="s">
        <v>74</v>
      </c>
      <c r="BR922" t="s">
        <v>100</v>
      </c>
      <c r="BS922" t="s">
        <v>15073</v>
      </c>
      <c r="BT922" t="str">
        <f>HYPERLINK("https%3A%2F%2Fwww.webofscience.com%2Fwos%2Fwoscc%2Ffull-record%2FWOS:000250068600005","View Full Record in Web of Science")</f>
        <v>View Full Record in Web of Science</v>
      </c>
    </row>
    <row r="923" spans="1:72" x14ac:dyDescent="0.15">
      <c r="A923" t="s">
        <v>72</v>
      </c>
      <c r="B923" t="s">
        <v>15074</v>
      </c>
      <c r="C923" t="s">
        <v>74</v>
      </c>
      <c r="D923" t="s">
        <v>74</v>
      </c>
      <c r="E923" t="s">
        <v>74</v>
      </c>
      <c r="F923" t="s">
        <v>15075</v>
      </c>
      <c r="G923" t="s">
        <v>74</v>
      </c>
      <c r="H923" t="s">
        <v>74</v>
      </c>
      <c r="I923" t="s">
        <v>15076</v>
      </c>
      <c r="J923" t="s">
        <v>9312</v>
      </c>
      <c r="K923" t="s">
        <v>74</v>
      </c>
      <c r="L923" t="s">
        <v>74</v>
      </c>
      <c r="M923" t="s">
        <v>78</v>
      </c>
      <c r="N923" t="s">
        <v>79</v>
      </c>
      <c r="O923" t="s">
        <v>74</v>
      </c>
      <c r="P923" t="s">
        <v>74</v>
      </c>
      <c r="Q923" t="s">
        <v>74</v>
      </c>
      <c r="R923" t="s">
        <v>74</v>
      </c>
      <c r="S923" t="s">
        <v>74</v>
      </c>
      <c r="T923" t="s">
        <v>15077</v>
      </c>
      <c r="U923" t="s">
        <v>15078</v>
      </c>
      <c r="V923" t="s">
        <v>15079</v>
      </c>
      <c r="W923" t="s">
        <v>15080</v>
      </c>
      <c r="X923" t="s">
        <v>15081</v>
      </c>
      <c r="Y923" t="s">
        <v>15082</v>
      </c>
      <c r="Z923" t="s">
        <v>15083</v>
      </c>
      <c r="AA923" t="s">
        <v>15084</v>
      </c>
      <c r="AB923" t="s">
        <v>15085</v>
      </c>
      <c r="AC923" t="s">
        <v>74</v>
      </c>
      <c r="AD923" t="s">
        <v>74</v>
      </c>
      <c r="AE923" t="s">
        <v>74</v>
      </c>
      <c r="AF923" t="s">
        <v>74</v>
      </c>
      <c r="AG923">
        <v>42</v>
      </c>
      <c r="AH923">
        <v>28</v>
      </c>
      <c r="AI923">
        <v>32</v>
      </c>
      <c r="AJ923">
        <v>0</v>
      </c>
      <c r="AK923">
        <v>4</v>
      </c>
      <c r="AL923" t="s">
        <v>2556</v>
      </c>
      <c r="AM923" t="s">
        <v>662</v>
      </c>
      <c r="AN923" t="s">
        <v>4911</v>
      </c>
      <c r="AO923" t="s">
        <v>9313</v>
      </c>
      <c r="AP923" t="s">
        <v>9314</v>
      </c>
      <c r="AQ923" t="s">
        <v>74</v>
      </c>
      <c r="AR923" t="s">
        <v>9315</v>
      </c>
      <c r="AS923" t="s">
        <v>9316</v>
      </c>
      <c r="AT923" t="s">
        <v>15012</v>
      </c>
      <c r="AU923">
        <v>2007</v>
      </c>
      <c r="AV923">
        <v>19</v>
      </c>
      <c r="AW923">
        <v>3</v>
      </c>
      <c r="AX923" t="s">
        <v>74</v>
      </c>
      <c r="AY923" t="s">
        <v>74</v>
      </c>
      <c r="AZ923" t="s">
        <v>74</v>
      </c>
      <c r="BA923" t="s">
        <v>74</v>
      </c>
      <c r="BB923">
        <v>321</v>
      </c>
      <c r="BC923">
        <v>336</v>
      </c>
      <c r="BD923" t="s">
        <v>74</v>
      </c>
      <c r="BE923" t="s">
        <v>15086</v>
      </c>
      <c r="BF923" t="str">
        <f>HYPERLINK("http://dx.doi.org/10.1017/S0954102007000521","http://dx.doi.org/10.1017/S0954102007000521")</f>
        <v>http://dx.doi.org/10.1017/S0954102007000521</v>
      </c>
      <c r="BG923" t="s">
        <v>74</v>
      </c>
      <c r="BH923" t="s">
        <v>74</v>
      </c>
      <c r="BI923">
        <v>16</v>
      </c>
      <c r="BJ923" t="s">
        <v>9318</v>
      </c>
      <c r="BK923" t="s">
        <v>97</v>
      </c>
      <c r="BL923" t="s">
        <v>9319</v>
      </c>
      <c r="BM923" t="s">
        <v>15021</v>
      </c>
      <c r="BN923" t="s">
        <v>74</v>
      </c>
      <c r="BO923" t="s">
        <v>74</v>
      </c>
      <c r="BP923" t="s">
        <v>74</v>
      </c>
      <c r="BQ923" t="s">
        <v>74</v>
      </c>
      <c r="BR923" t="s">
        <v>100</v>
      </c>
      <c r="BS923" t="s">
        <v>15087</v>
      </c>
      <c r="BT923" t="str">
        <f>HYPERLINK("https%3A%2F%2Fwww.webofscience.com%2Fwos%2Fwoscc%2Ffull-record%2FWOS:000250068600006","View Full Record in Web of Science")</f>
        <v>View Full Record in Web of Science</v>
      </c>
    </row>
    <row r="924" spans="1:72" x14ac:dyDescent="0.15">
      <c r="A924" t="s">
        <v>72</v>
      </c>
      <c r="B924" t="s">
        <v>15088</v>
      </c>
      <c r="C924" t="s">
        <v>74</v>
      </c>
      <c r="D924" t="s">
        <v>74</v>
      </c>
      <c r="E924" t="s">
        <v>74</v>
      </c>
      <c r="F924" t="s">
        <v>15089</v>
      </c>
      <c r="G924" t="s">
        <v>74</v>
      </c>
      <c r="H924" t="s">
        <v>74</v>
      </c>
      <c r="I924" t="s">
        <v>15090</v>
      </c>
      <c r="J924" t="s">
        <v>9312</v>
      </c>
      <c r="K924" t="s">
        <v>74</v>
      </c>
      <c r="L924" t="s">
        <v>74</v>
      </c>
      <c r="M924" t="s">
        <v>78</v>
      </c>
      <c r="N924" t="s">
        <v>79</v>
      </c>
      <c r="O924" t="s">
        <v>74</v>
      </c>
      <c r="P924" t="s">
        <v>74</v>
      </c>
      <c r="Q924" t="s">
        <v>74</v>
      </c>
      <c r="R924" t="s">
        <v>74</v>
      </c>
      <c r="S924" t="s">
        <v>74</v>
      </c>
      <c r="T924" t="s">
        <v>74</v>
      </c>
      <c r="U924" t="s">
        <v>15091</v>
      </c>
      <c r="V924" t="s">
        <v>74</v>
      </c>
      <c r="W924" t="s">
        <v>15092</v>
      </c>
      <c r="X924" t="s">
        <v>2003</v>
      </c>
      <c r="Y924" t="s">
        <v>15093</v>
      </c>
      <c r="Z924" t="s">
        <v>15094</v>
      </c>
      <c r="AA924" t="s">
        <v>74</v>
      </c>
      <c r="AB924" t="s">
        <v>15095</v>
      </c>
      <c r="AC924" t="s">
        <v>74</v>
      </c>
      <c r="AD924" t="s">
        <v>74</v>
      </c>
      <c r="AE924" t="s">
        <v>74</v>
      </c>
      <c r="AF924" t="s">
        <v>74</v>
      </c>
      <c r="AG924">
        <v>11</v>
      </c>
      <c r="AH924">
        <v>4</v>
      </c>
      <c r="AI924">
        <v>4</v>
      </c>
      <c r="AJ924">
        <v>0</v>
      </c>
      <c r="AK924">
        <v>3</v>
      </c>
      <c r="AL924" t="s">
        <v>2556</v>
      </c>
      <c r="AM924" t="s">
        <v>662</v>
      </c>
      <c r="AN924" t="s">
        <v>4911</v>
      </c>
      <c r="AO924" t="s">
        <v>9313</v>
      </c>
      <c r="AP924" t="s">
        <v>9314</v>
      </c>
      <c r="AQ924" t="s">
        <v>74</v>
      </c>
      <c r="AR924" t="s">
        <v>9315</v>
      </c>
      <c r="AS924" t="s">
        <v>9316</v>
      </c>
      <c r="AT924" t="s">
        <v>15012</v>
      </c>
      <c r="AU924">
        <v>2007</v>
      </c>
      <c r="AV924">
        <v>19</v>
      </c>
      <c r="AW924">
        <v>3</v>
      </c>
      <c r="AX924" t="s">
        <v>74</v>
      </c>
      <c r="AY924" t="s">
        <v>74</v>
      </c>
      <c r="AZ924" t="s">
        <v>74</v>
      </c>
      <c r="BA924" t="s">
        <v>74</v>
      </c>
      <c r="BB924">
        <v>337</v>
      </c>
      <c r="BC924">
        <v>338</v>
      </c>
      <c r="BD924" t="s">
        <v>74</v>
      </c>
      <c r="BE924" t="s">
        <v>15096</v>
      </c>
      <c r="BF924" t="str">
        <f>HYPERLINK("http://dx.doi.org/10.1017/S095410200700048X","http://dx.doi.org/10.1017/S095410200700048X")</f>
        <v>http://dx.doi.org/10.1017/S095410200700048X</v>
      </c>
      <c r="BG924" t="s">
        <v>74</v>
      </c>
      <c r="BH924" t="s">
        <v>74</v>
      </c>
      <c r="BI924">
        <v>2</v>
      </c>
      <c r="BJ924" t="s">
        <v>9318</v>
      </c>
      <c r="BK924" t="s">
        <v>97</v>
      </c>
      <c r="BL924" t="s">
        <v>9319</v>
      </c>
      <c r="BM924" t="s">
        <v>15021</v>
      </c>
      <c r="BN924" t="s">
        <v>74</v>
      </c>
      <c r="BO924" t="s">
        <v>74</v>
      </c>
      <c r="BP924" t="s">
        <v>74</v>
      </c>
      <c r="BQ924" t="s">
        <v>74</v>
      </c>
      <c r="BR924" t="s">
        <v>100</v>
      </c>
      <c r="BS924" t="s">
        <v>15097</v>
      </c>
      <c r="BT924" t="str">
        <f>HYPERLINK("https%3A%2F%2Fwww.webofscience.com%2Fwos%2Fwoscc%2Ffull-record%2FWOS:000250068600007","View Full Record in Web of Science")</f>
        <v>View Full Record in Web of Science</v>
      </c>
    </row>
    <row r="925" spans="1:72" x14ac:dyDescent="0.15">
      <c r="A925" t="s">
        <v>72</v>
      </c>
      <c r="B925" t="s">
        <v>15098</v>
      </c>
      <c r="C925" t="s">
        <v>74</v>
      </c>
      <c r="D925" t="s">
        <v>74</v>
      </c>
      <c r="E925" t="s">
        <v>74</v>
      </c>
      <c r="F925" t="s">
        <v>15099</v>
      </c>
      <c r="G925" t="s">
        <v>74</v>
      </c>
      <c r="H925" t="s">
        <v>74</v>
      </c>
      <c r="I925" t="s">
        <v>15100</v>
      </c>
      <c r="J925" t="s">
        <v>9312</v>
      </c>
      <c r="K925" t="s">
        <v>74</v>
      </c>
      <c r="L925" t="s">
        <v>74</v>
      </c>
      <c r="M925" t="s">
        <v>78</v>
      </c>
      <c r="N925" t="s">
        <v>79</v>
      </c>
      <c r="O925" t="s">
        <v>74</v>
      </c>
      <c r="P925" t="s">
        <v>74</v>
      </c>
      <c r="Q925" t="s">
        <v>74</v>
      </c>
      <c r="R925" t="s">
        <v>74</v>
      </c>
      <c r="S925" t="s">
        <v>74</v>
      </c>
      <c r="T925" t="s">
        <v>15101</v>
      </c>
      <c r="U925" t="s">
        <v>15102</v>
      </c>
      <c r="V925" t="s">
        <v>15103</v>
      </c>
      <c r="W925" t="s">
        <v>14716</v>
      </c>
      <c r="X925" t="s">
        <v>8376</v>
      </c>
      <c r="Y925" t="s">
        <v>15104</v>
      </c>
      <c r="Z925" t="s">
        <v>15105</v>
      </c>
      <c r="AA925" t="s">
        <v>74</v>
      </c>
      <c r="AB925" t="s">
        <v>15106</v>
      </c>
      <c r="AC925" t="s">
        <v>74</v>
      </c>
      <c r="AD925" t="s">
        <v>74</v>
      </c>
      <c r="AE925" t="s">
        <v>74</v>
      </c>
      <c r="AF925" t="s">
        <v>74</v>
      </c>
      <c r="AG925">
        <v>63</v>
      </c>
      <c r="AH925">
        <v>45</v>
      </c>
      <c r="AI925">
        <v>57</v>
      </c>
      <c r="AJ925">
        <v>0</v>
      </c>
      <c r="AK925">
        <v>9</v>
      </c>
      <c r="AL925" t="s">
        <v>2556</v>
      </c>
      <c r="AM925" t="s">
        <v>662</v>
      </c>
      <c r="AN925" t="s">
        <v>4911</v>
      </c>
      <c r="AO925" t="s">
        <v>9313</v>
      </c>
      <c r="AP925" t="s">
        <v>9314</v>
      </c>
      <c r="AQ925" t="s">
        <v>74</v>
      </c>
      <c r="AR925" t="s">
        <v>9315</v>
      </c>
      <c r="AS925" t="s">
        <v>9316</v>
      </c>
      <c r="AT925" t="s">
        <v>15012</v>
      </c>
      <c r="AU925">
        <v>2007</v>
      </c>
      <c r="AV925">
        <v>19</v>
      </c>
      <c r="AW925">
        <v>3</v>
      </c>
      <c r="AX925" t="s">
        <v>74</v>
      </c>
      <c r="AY925" t="s">
        <v>74</v>
      </c>
      <c r="AZ925" t="s">
        <v>74</v>
      </c>
      <c r="BA925" t="s">
        <v>74</v>
      </c>
      <c r="BB925">
        <v>339</v>
      </c>
      <c r="BC925">
        <v>353</v>
      </c>
      <c r="BD925" t="s">
        <v>74</v>
      </c>
      <c r="BE925" t="s">
        <v>15107</v>
      </c>
      <c r="BF925" t="str">
        <f>HYPERLINK("http://dx.doi.org/10.1017/S0954102007000478","http://dx.doi.org/10.1017/S0954102007000478")</f>
        <v>http://dx.doi.org/10.1017/S0954102007000478</v>
      </c>
      <c r="BG925" t="s">
        <v>74</v>
      </c>
      <c r="BH925" t="s">
        <v>74</v>
      </c>
      <c r="BI925">
        <v>15</v>
      </c>
      <c r="BJ925" t="s">
        <v>9318</v>
      </c>
      <c r="BK925" t="s">
        <v>97</v>
      </c>
      <c r="BL925" t="s">
        <v>9319</v>
      </c>
      <c r="BM925" t="s">
        <v>15021</v>
      </c>
      <c r="BN925" t="s">
        <v>74</v>
      </c>
      <c r="BO925" t="s">
        <v>74</v>
      </c>
      <c r="BP925" t="s">
        <v>74</v>
      </c>
      <c r="BQ925" t="s">
        <v>74</v>
      </c>
      <c r="BR925" t="s">
        <v>100</v>
      </c>
      <c r="BS925" t="s">
        <v>15108</v>
      </c>
      <c r="BT925" t="str">
        <f>HYPERLINK("https%3A%2F%2Fwww.webofscience.com%2Fwos%2Fwoscc%2Ffull-record%2FWOS:000250068600008","View Full Record in Web of Science")</f>
        <v>View Full Record in Web of Science</v>
      </c>
    </row>
    <row r="926" spans="1:72" x14ac:dyDescent="0.15">
      <c r="A926" t="s">
        <v>72</v>
      </c>
      <c r="B926" t="s">
        <v>15109</v>
      </c>
      <c r="C926" t="s">
        <v>74</v>
      </c>
      <c r="D926" t="s">
        <v>74</v>
      </c>
      <c r="E926" t="s">
        <v>74</v>
      </c>
      <c r="F926" t="s">
        <v>15110</v>
      </c>
      <c r="G926" t="s">
        <v>74</v>
      </c>
      <c r="H926" t="s">
        <v>74</v>
      </c>
      <c r="I926" t="s">
        <v>15111</v>
      </c>
      <c r="J926" t="s">
        <v>9312</v>
      </c>
      <c r="K926" t="s">
        <v>74</v>
      </c>
      <c r="L926" t="s">
        <v>74</v>
      </c>
      <c r="M926" t="s">
        <v>78</v>
      </c>
      <c r="N926" t="s">
        <v>79</v>
      </c>
      <c r="O926" t="s">
        <v>74</v>
      </c>
      <c r="P926" t="s">
        <v>74</v>
      </c>
      <c r="Q926" t="s">
        <v>74</v>
      </c>
      <c r="R926" t="s">
        <v>74</v>
      </c>
      <c r="S926" t="s">
        <v>74</v>
      </c>
      <c r="T926" t="s">
        <v>15112</v>
      </c>
      <c r="U926" t="s">
        <v>15113</v>
      </c>
      <c r="V926" t="s">
        <v>15114</v>
      </c>
      <c r="W926" t="s">
        <v>15115</v>
      </c>
      <c r="X926" t="s">
        <v>15116</v>
      </c>
      <c r="Y926" t="s">
        <v>15117</v>
      </c>
      <c r="Z926" t="s">
        <v>15118</v>
      </c>
      <c r="AA926" t="s">
        <v>74</v>
      </c>
      <c r="AB926" t="s">
        <v>74</v>
      </c>
      <c r="AC926" t="s">
        <v>3298</v>
      </c>
      <c r="AD926" t="s">
        <v>444</v>
      </c>
      <c r="AE926" t="s">
        <v>74</v>
      </c>
      <c r="AF926" t="s">
        <v>74</v>
      </c>
      <c r="AG926">
        <v>40</v>
      </c>
      <c r="AH926">
        <v>9</v>
      </c>
      <c r="AI926">
        <v>11</v>
      </c>
      <c r="AJ926">
        <v>0</v>
      </c>
      <c r="AK926">
        <v>5</v>
      </c>
      <c r="AL926" t="s">
        <v>2556</v>
      </c>
      <c r="AM926" t="s">
        <v>662</v>
      </c>
      <c r="AN926" t="s">
        <v>4911</v>
      </c>
      <c r="AO926" t="s">
        <v>9313</v>
      </c>
      <c r="AP926" t="s">
        <v>9314</v>
      </c>
      <c r="AQ926" t="s">
        <v>74</v>
      </c>
      <c r="AR926" t="s">
        <v>9315</v>
      </c>
      <c r="AS926" t="s">
        <v>9316</v>
      </c>
      <c r="AT926" t="s">
        <v>15012</v>
      </c>
      <c r="AU926">
        <v>2007</v>
      </c>
      <c r="AV926">
        <v>19</v>
      </c>
      <c r="AW926">
        <v>3</v>
      </c>
      <c r="AX926" t="s">
        <v>74</v>
      </c>
      <c r="AY926" t="s">
        <v>74</v>
      </c>
      <c r="AZ926" t="s">
        <v>74</v>
      </c>
      <c r="BA926" t="s">
        <v>74</v>
      </c>
      <c r="BB926">
        <v>355</v>
      </c>
      <c r="BC926">
        <v>364</v>
      </c>
      <c r="BD926" t="s">
        <v>74</v>
      </c>
      <c r="BE926" t="s">
        <v>15119</v>
      </c>
      <c r="BF926" t="str">
        <f>HYPERLINK("http://dx.doi.org/10.1017/S0954102007000442","http://dx.doi.org/10.1017/S0954102007000442")</f>
        <v>http://dx.doi.org/10.1017/S0954102007000442</v>
      </c>
      <c r="BG926" t="s">
        <v>74</v>
      </c>
      <c r="BH926" t="s">
        <v>74</v>
      </c>
      <c r="BI926">
        <v>10</v>
      </c>
      <c r="BJ926" t="s">
        <v>9318</v>
      </c>
      <c r="BK926" t="s">
        <v>97</v>
      </c>
      <c r="BL926" t="s">
        <v>9319</v>
      </c>
      <c r="BM926" t="s">
        <v>15021</v>
      </c>
      <c r="BN926" t="s">
        <v>74</v>
      </c>
      <c r="BO926" t="s">
        <v>74</v>
      </c>
      <c r="BP926" t="s">
        <v>74</v>
      </c>
      <c r="BQ926" t="s">
        <v>74</v>
      </c>
      <c r="BR926" t="s">
        <v>100</v>
      </c>
      <c r="BS926" t="s">
        <v>15120</v>
      </c>
      <c r="BT926" t="str">
        <f>HYPERLINK("https%3A%2F%2Fwww.webofscience.com%2Fwos%2Fwoscc%2Ffull-record%2FWOS:000250068600009","View Full Record in Web of Science")</f>
        <v>View Full Record in Web of Science</v>
      </c>
    </row>
    <row r="927" spans="1:72" x14ac:dyDescent="0.15">
      <c r="A927" t="s">
        <v>72</v>
      </c>
      <c r="B927" t="s">
        <v>15121</v>
      </c>
      <c r="C927" t="s">
        <v>74</v>
      </c>
      <c r="D927" t="s">
        <v>74</v>
      </c>
      <c r="E927" t="s">
        <v>74</v>
      </c>
      <c r="F927" t="s">
        <v>15122</v>
      </c>
      <c r="G927" t="s">
        <v>74</v>
      </c>
      <c r="H927" t="s">
        <v>74</v>
      </c>
      <c r="I927" t="s">
        <v>15123</v>
      </c>
      <c r="J927" t="s">
        <v>9312</v>
      </c>
      <c r="K927" t="s">
        <v>74</v>
      </c>
      <c r="L927" t="s">
        <v>74</v>
      </c>
      <c r="M927" t="s">
        <v>78</v>
      </c>
      <c r="N927" t="s">
        <v>79</v>
      </c>
      <c r="O927" t="s">
        <v>74</v>
      </c>
      <c r="P927" t="s">
        <v>74</v>
      </c>
      <c r="Q927" t="s">
        <v>74</v>
      </c>
      <c r="R927" t="s">
        <v>74</v>
      </c>
      <c r="S927" t="s">
        <v>74</v>
      </c>
      <c r="T927" t="s">
        <v>15124</v>
      </c>
      <c r="U927" t="s">
        <v>15125</v>
      </c>
      <c r="V927" t="s">
        <v>15126</v>
      </c>
      <c r="W927" t="s">
        <v>15127</v>
      </c>
      <c r="X927" t="s">
        <v>15128</v>
      </c>
      <c r="Y927" t="s">
        <v>15129</v>
      </c>
      <c r="Z927" t="s">
        <v>15130</v>
      </c>
      <c r="AA927" t="s">
        <v>15131</v>
      </c>
      <c r="AB927" t="s">
        <v>15132</v>
      </c>
      <c r="AC927" t="s">
        <v>74</v>
      </c>
      <c r="AD927" t="s">
        <v>74</v>
      </c>
      <c r="AE927" t="s">
        <v>74</v>
      </c>
      <c r="AF927" t="s">
        <v>74</v>
      </c>
      <c r="AG927">
        <v>24</v>
      </c>
      <c r="AH927">
        <v>6</v>
      </c>
      <c r="AI927">
        <v>6</v>
      </c>
      <c r="AJ927">
        <v>0</v>
      </c>
      <c r="AK927">
        <v>4</v>
      </c>
      <c r="AL927" t="s">
        <v>2556</v>
      </c>
      <c r="AM927" t="s">
        <v>662</v>
      </c>
      <c r="AN927" t="s">
        <v>4911</v>
      </c>
      <c r="AO927" t="s">
        <v>9313</v>
      </c>
      <c r="AP927" t="s">
        <v>74</v>
      </c>
      <c r="AQ927" t="s">
        <v>74</v>
      </c>
      <c r="AR927" t="s">
        <v>9315</v>
      </c>
      <c r="AS927" t="s">
        <v>9316</v>
      </c>
      <c r="AT927" t="s">
        <v>15012</v>
      </c>
      <c r="AU927">
        <v>2007</v>
      </c>
      <c r="AV927">
        <v>19</v>
      </c>
      <c r="AW927">
        <v>3</v>
      </c>
      <c r="AX927" t="s">
        <v>74</v>
      </c>
      <c r="AY927" t="s">
        <v>74</v>
      </c>
      <c r="AZ927" t="s">
        <v>74</v>
      </c>
      <c r="BA927" t="s">
        <v>74</v>
      </c>
      <c r="BB927">
        <v>365</v>
      </c>
      <c r="BC927">
        <v>372</v>
      </c>
      <c r="BD927" t="s">
        <v>74</v>
      </c>
      <c r="BE927" t="s">
        <v>15133</v>
      </c>
      <c r="BF927" t="str">
        <f>HYPERLINK("http://dx.doi.org/10.1017/S0954102007000466","http://dx.doi.org/10.1017/S0954102007000466")</f>
        <v>http://dx.doi.org/10.1017/S0954102007000466</v>
      </c>
      <c r="BG927" t="s">
        <v>74</v>
      </c>
      <c r="BH927" t="s">
        <v>74</v>
      </c>
      <c r="BI927">
        <v>8</v>
      </c>
      <c r="BJ927" t="s">
        <v>9318</v>
      </c>
      <c r="BK927" t="s">
        <v>97</v>
      </c>
      <c r="BL927" t="s">
        <v>9319</v>
      </c>
      <c r="BM927" t="s">
        <v>15021</v>
      </c>
      <c r="BN927" t="s">
        <v>74</v>
      </c>
      <c r="BO927" t="s">
        <v>1050</v>
      </c>
      <c r="BP927" t="s">
        <v>74</v>
      </c>
      <c r="BQ927" t="s">
        <v>74</v>
      </c>
      <c r="BR927" t="s">
        <v>100</v>
      </c>
      <c r="BS927" t="s">
        <v>15134</v>
      </c>
      <c r="BT927" t="str">
        <f>HYPERLINK("https%3A%2F%2Fwww.webofscience.com%2Fwos%2Fwoscc%2Ffull-record%2FWOS:000250068600010","View Full Record in Web of Science")</f>
        <v>View Full Record in Web of Science</v>
      </c>
    </row>
    <row r="928" spans="1:72" x14ac:dyDescent="0.15">
      <c r="A928" t="s">
        <v>72</v>
      </c>
      <c r="B928" t="s">
        <v>15135</v>
      </c>
      <c r="C928" t="s">
        <v>74</v>
      </c>
      <c r="D928" t="s">
        <v>74</v>
      </c>
      <c r="E928" t="s">
        <v>74</v>
      </c>
      <c r="F928" t="s">
        <v>15136</v>
      </c>
      <c r="G928" t="s">
        <v>74</v>
      </c>
      <c r="H928" t="s">
        <v>74</v>
      </c>
      <c r="I928" t="s">
        <v>15137</v>
      </c>
      <c r="J928" t="s">
        <v>9312</v>
      </c>
      <c r="K928" t="s">
        <v>74</v>
      </c>
      <c r="L928" t="s">
        <v>74</v>
      </c>
      <c r="M928" t="s">
        <v>78</v>
      </c>
      <c r="N928" t="s">
        <v>79</v>
      </c>
      <c r="O928" t="s">
        <v>74</v>
      </c>
      <c r="P928" t="s">
        <v>74</v>
      </c>
      <c r="Q928" t="s">
        <v>74</v>
      </c>
      <c r="R928" t="s">
        <v>74</v>
      </c>
      <c r="S928" t="s">
        <v>74</v>
      </c>
      <c r="T928" t="s">
        <v>15138</v>
      </c>
      <c r="U928" t="s">
        <v>15139</v>
      </c>
      <c r="V928" t="s">
        <v>15140</v>
      </c>
      <c r="W928" t="s">
        <v>15141</v>
      </c>
      <c r="X928" t="s">
        <v>15142</v>
      </c>
      <c r="Y928" t="s">
        <v>15143</v>
      </c>
      <c r="Z928" t="s">
        <v>15144</v>
      </c>
      <c r="AA928" t="s">
        <v>15145</v>
      </c>
      <c r="AB928" t="s">
        <v>15146</v>
      </c>
      <c r="AC928" t="s">
        <v>74</v>
      </c>
      <c r="AD928" t="s">
        <v>74</v>
      </c>
      <c r="AE928" t="s">
        <v>74</v>
      </c>
      <c r="AF928" t="s">
        <v>74</v>
      </c>
      <c r="AG928">
        <v>28</v>
      </c>
      <c r="AH928">
        <v>4</v>
      </c>
      <c r="AI928">
        <v>5</v>
      </c>
      <c r="AJ928">
        <v>0</v>
      </c>
      <c r="AK928">
        <v>4</v>
      </c>
      <c r="AL928" t="s">
        <v>2556</v>
      </c>
      <c r="AM928" t="s">
        <v>662</v>
      </c>
      <c r="AN928" t="s">
        <v>4911</v>
      </c>
      <c r="AO928" t="s">
        <v>9313</v>
      </c>
      <c r="AP928" t="s">
        <v>9314</v>
      </c>
      <c r="AQ928" t="s">
        <v>74</v>
      </c>
      <c r="AR928" t="s">
        <v>9315</v>
      </c>
      <c r="AS928" t="s">
        <v>9316</v>
      </c>
      <c r="AT928" t="s">
        <v>15012</v>
      </c>
      <c r="AU928">
        <v>2007</v>
      </c>
      <c r="AV928">
        <v>19</v>
      </c>
      <c r="AW928">
        <v>3</v>
      </c>
      <c r="AX928" t="s">
        <v>74</v>
      </c>
      <c r="AY928" t="s">
        <v>74</v>
      </c>
      <c r="AZ928" t="s">
        <v>74</v>
      </c>
      <c r="BA928" t="s">
        <v>74</v>
      </c>
      <c r="BB928">
        <v>373</v>
      </c>
      <c r="BC928">
        <v>377</v>
      </c>
      <c r="BD928" t="s">
        <v>74</v>
      </c>
      <c r="BE928" t="s">
        <v>15147</v>
      </c>
      <c r="BF928" t="str">
        <f>HYPERLINK("http://dx.doi.org/10.1017/S0954102007000430","http://dx.doi.org/10.1017/S0954102007000430")</f>
        <v>http://dx.doi.org/10.1017/S0954102007000430</v>
      </c>
      <c r="BG928" t="s">
        <v>74</v>
      </c>
      <c r="BH928" t="s">
        <v>74</v>
      </c>
      <c r="BI928">
        <v>5</v>
      </c>
      <c r="BJ928" t="s">
        <v>9318</v>
      </c>
      <c r="BK928" t="s">
        <v>97</v>
      </c>
      <c r="BL928" t="s">
        <v>9319</v>
      </c>
      <c r="BM928" t="s">
        <v>15021</v>
      </c>
      <c r="BN928" t="s">
        <v>74</v>
      </c>
      <c r="BO928" t="s">
        <v>74</v>
      </c>
      <c r="BP928" t="s">
        <v>74</v>
      </c>
      <c r="BQ928" t="s">
        <v>74</v>
      </c>
      <c r="BR928" t="s">
        <v>100</v>
      </c>
      <c r="BS928" t="s">
        <v>15148</v>
      </c>
      <c r="BT928" t="str">
        <f>HYPERLINK("https%3A%2F%2Fwww.webofscience.com%2Fwos%2Fwoscc%2Ffull-record%2FWOS:000250068600011","View Full Record in Web of Science")</f>
        <v>View Full Record in Web of Science</v>
      </c>
    </row>
    <row r="929" spans="1:72" x14ac:dyDescent="0.15">
      <c r="A929" t="s">
        <v>72</v>
      </c>
      <c r="B929" t="s">
        <v>15149</v>
      </c>
      <c r="C929" t="s">
        <v>74</v>
      </c>
      <c r="D929" t="s">
        <v>74</v>
      </c>
      <c r="E929" t="s">
        <v>74</v>
      </c>
      <c r="F929" t="s">
        <v>15150</v>
      </c>
      <c r="G929" t="s">
        <v>74</v>
      </c>
      <c r="H929" t="s">
        <v>74</v>
      </c>
      <c r="I929" t="s">
        <v>15151</v>
      </c>
      <c r="J929" t="s">
        <v>9312</v>
      </c>
      <c r="K929" t="s">
        <v>74</v>
      </c>
      <c r="L929" t="s">
        <v>74</v>
      </c>
      <c r="M929" t="s">
        <v>78</v>
      </c>
      <c r="N929" t="s">
        <v>79</v>
      </c>
      <c r="O929" t="s">
        <v>74</v>
      </c>
      <c r="P929" t="s">
        <v>74</v>
      </c>
      <c r="Q929" t="s">
        <v>74</v>
      </c>
      <c r="R929" t="s">
        <v>74</v>
      </c>
      <c r="S929" t="s">
        <v>74</v>
      </c>
      <c r="T929" t="s">
        <v>15152</v>
      </c>
      <c r="U929" t="s">
        <v>15153</v>
      </c>
      <c r="V929" t="s">
        <v>15154</v>
      </c>
      <c r="W929" t="s">
        <v>15155</v>
      </c>
      <c r="X929" t="s">
        <v>15156</v>
      </c>
      <c r="Y929" t="s">
        <v>15157</v>
      </c>
      <c r="Z929" t="s">
        <v>15158</v>
      </c>
      <c r="AA929" t="s">
        <v>15159</v>
      </c>
      <c r="AB929" t="s">
        <v>15160</v>
      </c>
      <c r="AC929" t="s">
        <v>74</v>
      </c>
      <c r="AD929" t="s">
        <v>74</v>
      </c>
      <c r="AE929" t="s">
        <v>74</v>
      </c>
      <c r="AF929" t="s">
        <v>74</v>
      </c>
      <c r="AG929">
        <v>54</v>
      </c>
      <c r="AH929">
        <v>40</v>
      </c>
      <c r="AI929">
        <v>45</v>
      </c>
      <c r="AJ929">
        <v>0</v>
      </c>
      <c r="AK929">
        <v>15</v>
      </c>
      <c r="AL929" t="s">
        <v>2556</v>
      </c>
      <c r="AM929" t="s">
        <v>662</v>
      </c>
      <c r="AN929" t="s">
        <v>4911</v>
      </c>
      <c r="AO929" t="s">
        <v>9313</v>
      </c>
      <c r="AP929" t="s">
        <v>9314</v>
      </c>
      <c r="AQ929" t="s">
        <v>74</v>
      </c>
      <c r="AR929" t="s">
        <v>9315</v>
      </c>
      <c r="AS929" t="s">
        <v>9316</v>
      </c>
      <c r="AT929" t="s">
        <v>15012</v>
      </c>
      <c r="AU929">
        <v>2007</v>
      </c>
      <c r="AV929">
        <v>19</v>
      </c>
      <c r="AW929">
        <v>3</v>
      </c>
      <c r="AX929" t="s">
        <v>74</v>
      </c>
      <c r="AY929" t="s">
        <v>74</v>
      </c>
      <c r="AZ929" t="s">
        <v>74</v>
      </c>
      <c r="BA929" t="s">
        <v>74</v>
      </c>
      <c r="BB929">
        <v>379</v>
      </c>
      <c r="BC929">
        <v>393</v>
      </c>
      <c r="BD929" t="s">
        <v>74</v>
      </c>
      <c r="BE929" t="s">
        <v>15161</v>
      </c>
      <c r="BF929" t="str">
        <f>HYPERLINK("http://dx.doi.org/10.1017/S0954102007000454","http://dx.doi.org/10.1017/S0954102007000454")</f>
        <v>http://dx.doi.org/10.1017/S0954102007000454</v>
      </c>
      <c r="BG929" t="s">
        <v>74</v>
      </c>
      <c r="BH929" t="s">
        <v>74</v>
      </c>
      <c r="BI929">
        <v>15</v>
      </c>
      <c r="BJ929" t="s">
        <v>9318</v>
      </c>
      <c r="BK929" t="s">
        <v>97</v>
      </c>
      <c r="BL929" t="s">
        <v>9319</v>
      </c>
      <c r="BM929" t="s">
        <v>15021</v>
      </c>
      <c r="BN929" t="s">
        <v>74</v>
      </c>
      <c r="BO929" t="s">
        <v>74</v>
      </c>
      <c r="BP929" t="s">
        <v>74</v>
      </c>
      <c r="BQ929" t="s">
        <v>74</v>
      </c>
      <c r="BR929" t="s">
        <v>100</v>
      </c>
      <c r="BS929" t="s">
        <v>15162</v>
      </c>
      <c r="BT929" t="str">
        <f>HYPERLINK("https%3A%2F%2Fwww.webofscience.com%2Fwos%2Fwoscc%2Ffull-record%2FWOS:000250068600012","View Full Record in Web of Science")</f>
        <v>View Full Record in Web of Science</v>
      </c>
    </row>
    <row r="930" spans="1:72" x14ac:dyDescent="0.15">
      <c r="A930" t="s">
        <v>72</v>
      </c>
      <c r="B930" t="s">
        <v>15163</v>
      </c>
      <c r="C930" t="s">
        <v>74</v>
      </c>
      <c r="D930" t="s">
        <v>74</v>
      </c>
      <c r="E930" t="s">
        <v>74</v>
      </c>
      <c r="F930" t="s">
        <v>15164</v>
      </c>
      <c r="G930" t="s">
        <v>74</v>
      </c>
      <c r="H930" t="s">
        <v>74</v>
      </c>
      <c r="I930" t="s">
        <v>15165</v>
      </c>
      <c r="J930" t="s">
        <v>9312</v>
      </c>
      <c r="K930" t="s">
        <v>74</v>
      </c>
      <c r="L930" t="s">
        <v>74</v>
      </c>
      <c r="M930" t="s">
        <v>78</v>
      </c>
      <c r="N930" t="s">
        <v>79</v>
      </c>
      <c r="O930" t="s">
        <v>74</v>
      </c>
      <c r="P930" t="s">
        <v>74</v>
      </c>
      <c r="Q930" t="s">
        <v>74</v>
      </c>
      <c r="R930" t="s">
        <v>74</v>
      </c>
      <c r="S930" t="s">
        <v>74</v>
      </c>
      <c r="T930" t="s">
        <v>15166</v>
      </c>
      <c r="U930" t="s">
        <v>15167</v>
      </c>
      <c r="V930" t="s">
        <v>15168</v>
      </c>
      <c r="W930" t="s">
        <v>15169</v>
      </c>
      <c r="X930" t="s">
        <v>15170</v>
      </c>
      <c r="Y930" t="s">
        <v>15171</v>
      </c>
      <c r="Z930" t="s">
        <v>15172</v>
      </c>
      <c r="AA930" t="s">
        <v>15173</v>
      </c>
      <c r="AB930" t="s">
        <v>15174</v>
      </c>
      <c r="AC930" t="s">
        <v>74</v>
      </c>
      <c r="AD930" t="s">
        <v>74</v>
      </c>
      <c r="AE930" t="s">
        <v>74</v>
      </c>
      <c r="AF930" t="s">
        <v>74</v>
      </c>
      <c r="AG930">
        <v>77</v>
      </c>
      <c r="AH930">
        <v>36</v>
      </c>
      <c r="AI930">
        <v>36</v>
      </c>
      <c r="AJ930">
        <v>0</v>
      </c>
      <c r="AK930">
        <v>7</v>
      </c>
      <c r="AL930" t="s">
        <v>2556</v>
      </c>
      <c r="AM930" t="s">
        <v>662</v>
      </c>
      <c r="AN930" t="s">
        <v>4911</v>
      </c>
      <c r="AO930" t="s">
        <v>9313</v>
      </c>
      <c r="AP930" t="s">
        <v>9314</v>
      </c>
      <c r="AQ930" t="s">
        <v>74</v>
      </c>
      <c r="AR930" t="s">
        <v>9315</v>
      </c>
      <c r="AS930" t="s">
        <v>9316</v>
      </c>
      <c r="AT930" t="s">
        <v>15012</v>
      </c>
      <c r="AU930">
        <v>2007</v>
      </c>
      <c r="AV930">
        <v>19</v>
      </c>
      <c r="AW930">
        <v>3</v>
      </c>
      <c r="AX930" t="s">
        <v>74</v>
      </c>
      <c r="AY930" t="s">
        <v>74</v>
      </c>
      <c r="AZ930" t="s">
        <v>74</v>
      </c>
      <c r="BA930" t="s">
        <v>74</v>
      </c>
      <c r="BB930">
        <v>395</v>
      </c>
      <c r="BC930">
        <v>407</v>
      </c>
      <c r="BD930" t="s">
        <v>74</v>
      </c>
      <c r="BE930" t="s">
        <v>15175</v>
      </c>
      <c r="BF930" t="str">
        <f>HYPERLINK("http://dx.doi.org/10.1017/S0954102007000405","http://dx.doi.org/10.1017/S0954102007000405")</f>
        <v>http://dx.doi.org/10.1017/S0954102007000405</v>
      </c>
      <c r="BG930" t="s">
        <v>74</v>
      </c>
      <c r="BH930" t="s">
        <v>74</v>
      </c>
      <c r="BI930">
        <v>13</v>
      </c>
      <c r="BJ930" t="s">
        <v>9318</v>
      </c>
      <c r="BK930" t="s">
        <v>97</v>
      </c>
      <c r="BL930" t="s">
        <v>9319</v>
      </c>
      <c r="BM930" t="s">
        <v>15021</v>
      </c>
      <c r="BN930" t="s">
        <v>74</v>
      </c>
      <c r="BO930" t="s">
        <v>1050</v>
      </c>
      <c r="BP930" t="s">
        <v>74</v>
      </c>
      <c r="BQ930" t="s">
        <v>74</v>
      </c>
      <c r="BR930" t="s">
        <v>100</v>
      </c>
      <c r="BS930" t="s">
        <v>15176</v>
      </c>
      <c r="BT930" t="str">
        <f>HYPERLINK("https%3A%2F%2Fwww.webofscience.com%2Fwos%2Fwoscc%2Ffull-record%2FWOS:000250068600013","View Full Record in Web of Science")</f>
        <v>View Full Record in Web of Science</v>
      </c>
    </row>
    <row r="931" spans="1:72" x14ac:dyDescent="0.15">
      <c r="A931" t="s">
        <v>72</v>
      </c>
      <c r="B931" t="s">
        <v>15177</v>
      </c>
      <c r="C931" t="s">
        <v>74</v>
      </c>
      <c r="D931" t="s">
        <v>74</v>
      </c>
      <c r="E931" t="s">
        <v>74</v>
      </c>
      <c r="F931" t="s">
        <v>15178</v>
      </c>
      <c r="G931" t="s">
        <v>74</v>
      </c>
      <c r="H931" t="s">
        <v>74</v>
      </c>
      <c r="I931" t="s">
        <v>15179</v>
      </c>
      <c r="J931" t="s">
        <v>15180</v>
      </c>
      <c r="K931" t="s">
        <v>74</v>
      </c>
      <c r="L931" t="s">
        <v>74</v>
      </c>
      <c r="M931" t="s">
        <v>3986</v>
      </c>
      <c r="N931" t="s">
        <v>79</v>
      </c>
      <c r="O931" t="s">
        <v>74</v>
      </c>
      <c r="P931" t="s">
        <v>74</v>
      </c>
      <c r="Q931" t="s">
        <v>74</v>
      </c>
      <c r="R931" t="s">
        <v>74</v>
      </c>
      <c r="S931" t="s">
        <v>74</v>
      </c>
      <c r="T931" t="s">
        <v>15181</v>
      </c>
      <c r="U931" t="s">
        <v>74</v>
      </c>
      <c r="V931" t="s">
        <v>15182</v>
      </c>
      <c r="W931" t="s">
        <v>15183</v>
      </c>
      <c r="X931" t="s">
        <v>15184</v>
      </c>
      <c r="Y931" t="s">
        <v>15185</v>
      </c>
      <c r="Z931" t="s">
        <v>74</v>
      </c>
      <c r="AA931" t="s">
        <v>74</v>
      </c>
      <c r="AB931" t="s">
        <v>74</v>
      </c>
      <c r="AC931" t="s">
        <v>74</v>
      </c>
      <c r="AD931" t="s">
        <v>74</v>
      </c>
      <c r="AE931" t="s">
        <v>74</v>
      </c>
      <c r="AF931" t="s">
        <v>74</v>
      </c>
      <c r="AG931">
        <v>0</v>
      </c>
      <c r="AH931">
        <v>0</v>
      </c>
      <c r="AI931">
        <v>0</v>
      </c>
      <c r="AJ931">
        <v>0</v>
      </c>
      <c r="AK931">
        <v>1</v>
      </c>
      <c r="AL931" t="s">
        <v>15186</v>
      </c>
      <c r="AM931" t="s">
        <v>10869</v>
      </c>
      <c r="AN931" t="s">
        <v>15187</v>
      </c>
      <c r="AO931" t="s">
        <v>15188</v>
      </c>
      <c r="AP931" t="s">
        <v>74</v>
      </c>
      <c r="AQ931" t="s">
        <v>74</v>
      </c>
      <c r="AR931" t="s">
        <v>15189</v>
      </c>
      <c r="AS931" t="s">
        <v>15190</v>
      </c>
      <c r="AT931" t="s">
        <v>15191</v>
      </c>
      <c r="AU931">
        <v>2007</v>
      </c>
      <c r="AV931">
        <v>183</v>
      </c>
      <c r="AW931">
        <v>727</v>
      </c>
      <c r="AX931" t="s">
        <v>74</v>
      </c>
      <c r="AY931" t="s">
        <v>74</v>
      </c>
      <c r="AZ931" t="s">
        <v>74</v>
      </c>
      <c r="BA931" t="s">
        <v>74</v>
      </c>
      <c r="BB931">
        <v>739</v>
      </c>
      <c r="BC931">
        <v>747</v>
      </c>
      <c r="BD931" t="s">
        <v>74</v>
      </c>
      <c r="BE931" t="s">
        <v>74</v>
      </c>
      <c r="BF931" t="s">
        <v>74</v>
      </c>
      <c r="BG931" t="s">
        <v>74</v>
      </c>
      <c r="BH931" t="s">
        <v>74</v>
      </c>
      <c r="BI931">
        <v>9</v>
      </c>
      <c r="BJ931" t="s">
        <v>9147</v>
      </c>
      <c r="BK931" t="s">
        <v>3207</v>
      </c>
      <c r="BL931" t="s">
        <v>9148</v>
      </c>
      <c r="BM931" t="s">
        <v>15192</v>
      </c>
      <c r="BN931" t="s">
        <v>74</v>
      </c>
      <c r="BO931" t="s">
        <v>74</v>
      </c>
      <c r="BP931" t="s">
        <v>74</v>
      </c>
      <c r="BQ931" t="s">
        <v>74</v>
      </c>
      <c r="BR931" t="s">
        <v>100</v>
      </c>
      <c r="BS931" t="s">
        <v>15193</v>
      </c>
      <c r="BT931" t="str">
        <f>HYPERLINK("https%3A%2F%2Fwww.webofscience.com%2Fwos%2Fwoscc%2Ffull-record%2FWOS:000250420900009","View Full Record in Web of Science")</f>
        <v>View Full Record in Web of Science</v>
      </c>
    </row>
    <row r="932" spans="1:72" x14ac:dyDescent="0.15">
      <c r="A932" t="s">
        <v>72</v>
      </c>
      <c r="B932" t="s">
        <v>7186</v>
      </c>
      <c r="C932" t="s">
        <v>74</v>
      </c>
      <c r="D932" t="s">
        <v>74</v>
      </c>
      <c r="E932" t="s">
        <v>74</v>
      </c>
      <c r="F932" t="s">
        <v>15194</v>
      </c>
      <c r="G932" t="s">
        <v>74</v>
      </c>
      <c r="H932" t="s">
        <v>74</v>
      </c>
      <c r="I932" t="s">
        <v>15195</v>
      </c>
      <c r="J932" t="s">
        <v>9692</v>
      </c>
      <c r="K932" t="s">
        <v>74</v>
      </c>
      <c r="L932" t="s">
        <v>74</v>
      </c>
      <c r="M932" t="s">
        <v>78</v>
      </c>
      <c r="N932" t="s">
        <v>79</v>
      </c>
      <c r="O932" t="s">
        <v>74</v>
      </c>
      <c r="P932" t="s">
        <v>74</v>
      </c>
      <c r="Q932" t="s">
        <v>74</v>
      </c>
      <c r="R932" t="s">
        <v>74</v>
      </c>
      <c r="S932" t="s">
        <v>74</v>
      </c>
      <c r="T932" t="s">
        <v>15196</v>
      </c>
      <c r="U932" t="s">
        <v>15197</v>
      </c>
      <c r="V932" t="s">
        <v>15198</v>
      </c>
      <c r="W932" t="s">
        <v>15199</v>
      </c>
      <c r="X932" t="s">
        <v>7199</v>
      </c>
      <c r="Y932" t="s">
        <v>7200</v>
      </c>
      <c r="Z932" t="s">
        <v>15200</v>
      </c>
      <c r="AA932" t="s">
        <v>7201</v>
      </c>
      <c r="AB932" t="s">
        <v>7202</v>
      </c>
      <c r="AC932" t="s">
        <v>12911</v>
      </c>
      <c r="AD932" t="s">
        <v>444</v>
      </c>
      <c r="AE932" t="s">
        <v>74</v>
      </c>
      <c r="AF932" t="s">
        <v>74</v>
      </c>
      <c r="AG932">
        <v>57</v>
      </c>
      <c r="AH932">
        <v>19</v>
      </c>
      <c r="AI932">
        <v>22</v>
      </c>
      <c r="AJ932">
        <v>0</v>
      </c>
      <c r="AK932">
        <v>4</v>
      </c>
      <c r="AL932" t="s">
        <v>9701</v>
      </c>
      <c r="AM932" t="s">
        <v>9702</v>
      </c>
      <c r="AN932" t="s">
        <v>9703</v>
      </c>
      <c r="AO932" t="s">
        <v>9705</v>
      </c>
      <c r="AP932" t="s">
        <v>74</v>
      </c>
      <c r="AQ932" t="s">
        <v>74</v>
      </c>
      <c r="AR932" t="s">
        <v>9706</v>
      </c>
      <c r="AS932" t="s">
        <v>9707</v>
      </c>
      <c r="AT932" t="s">
        <v>15012</v>
      </c>
      <c r="AU932">
        <v>2007</v>
      </c>
      <c r="AV932">
        <v>472</v>
      </c>
      <c r="AW932">
        <v>2</v>
      </c>
      <c r="AX932" t="s">
        <v>74</v>
      </c>
      <c r="AY932" t="s">
        <v>74</v>
      </c>
      <c r="AZ932" t="s">
        <v>74</v>
      </c>
      <c r="BA932" t="s">
        <v>74</v>
      </c>
      <c r="BB932">
        <v>623</v>
      </c>
      <c r="BC932">
        <v>632</v>
      </c>
      <c r="BD932" t="s">
        <v>74</v>
      </c>
      <c r="BE932" t="s">
        <v>15201</v>
      </c>
      <c r="BF932" t="str">
        <f>HYPERLINK("http://dx.doi.org/10.1051/0004-6361:20066961","http://dx.doi.org/10.1051/0004-6361:20066961")</f>
        <v>http://dx.doi.org/10.1051/0004-6361:20066961</v>
      </c>
      <c r="BG932" t="s">
        <v>74</v>
      </c>
      <c r="BH932" t="s">
        <v>74</v>
      </c>
      <c r="BI932">
        <v>10</v>
      </c>
      <c r="BJ932" t="s">
        <v>351</v>
      </c>
      <c r="BK932" t="s">
        <v>97</v>
      </c>
      <c r="BL932" t="s">
        <v>351</v>
      </c>
      <c r="BM932" t="s">
        <v>15202</v>
      </c>
      <c r="BN932" t="s">
        <v>74</v>
      </c>
      <c r="BO932" t="s">
        <v>15203</v>
      </c>
      <c r="BP932" t="s">
        <v>74</v>
      </c>
      <c r="BQ932" t="s">
        <v>74</v>
      </c>
      <c r="BR932" t="s">
        <v>100</v>
      </c>
      <c r="BS932" t="s">
        <v>15204</v>
      </c>
      <c r="BT932" t="str">
        <f>HYPERLINK("https%3A%2F%2Fwww.webofscience.com%2Fwos%2Fwoscc%2Ffull-record%2FWOS:000249758500034","View Full Record in Web of Science")</f>
        <v>View Full Record in Web of Science</v>
      </c>
    </row>
    <row r="933" spans="1:72" x14ac:dyDescent="0.15">
      <c r="A933" t="s">
        <v>72</v>
      </c>
      <c r="B933" t="s">
        <v>15205</v>
      </c>
      <c r="C933" t="s">
        <v>74</v>
      </c>
      <c r="D933" t="s">
        <v>74</v>
      </c>
      <c r="E933" t="s">
        <v>74</v>
      </c>
      <c r="F933" t="s">
        <v>15206</v>
      </c>
      <c r="G933" t="s">
        <v>74</v>
      </c>
      <c r="H933" t="s">
        <v>74</v>
      </c>
      <c r="I933" t="s">
        <v>15207</v>
      </c>
      <c r="J933" t="s">
        <v>15208</v>
      </c>
      <c r="K933" t="s">
        <v>74</v>
      </c>
      <c r="L933" t="s">
        <v>74</v>
      </c>
      <c r="M933" t="s">
        <v>78</v>
      </c>
      <c r="N933" t="s">
        <v>79</v>
      </c>
      <c r="O933" t="s">
        <v>74</v>
      </c>
      <c r="P933" t="s">
        <v>74</v>
      </c>
      <c r="Q933" t="s">
        <v>74</v>
      </c>
      <c r="R933" t="s">
        <v>74</v>
      </c>
      <c r="S933" t="s">
        <v>74</v>
      </c>
      <c r="T933" t="s">
        <v>15209</v>
      </c>
      <c r="U933" t="s">
        <v>15210</v>
      </c>
      <c r="V933" t="s">
        <v>15211</v>
      </c>
      <c r="W933" t="s">
        <v>15212</v>
      </c>
      <c r="X933" t="s">
        <v>15213</v>
      </c>
      <c r="Y933" t="s">
        <v>15214</v>
      </c>
      <c r="Z933" t="s">
        <v>15215</v>
      </c>
      <c r="AA933" t="s">
        <v>15216</v>
      </c>
      <c r="AB933" t="s">
        <v>15217</v>
      </c>
      <c r="AC933" t="s">
        <v>74</v>
      </c>
      <c r="AD933" t="s">
        <v>74</v>
      </c>
      <c r="AE933" t="s">
        <v>74</v>
      </c>
      <c r="AF933" t="s">
        <v>74</v>
      </c>
      <c r="AG933">
        <v>56</v>
      </c>
      <c r="AH933">
        <v>16</v>
      </c>
      <c r="AI933">
        <v>18</v>
      </c>
      <c r="AJ933">
        <v>0</v>
      </c>
      <c r="AK933">
        <v>5</v>
      </c>
      <c r="AL933" t="s">
        <v>265</v>
      </c>
      <c r="AM933" t="s">
        <v>266</v>
      </c>
      <c r="AN933" t="s">
        <v>267</v>
      </c>
      <c r="AO933" t="s">
        <v>15218</v>
      </c>
      <c r="AP933" t="s">
        <v>15219</v>
      </c>
      <c r="AQ933" t="s">
        <v>74</v>
      </c>
      <c r="AR933" t="s">
        <v>15220</v>
      </c>
      <c r="AS933" t="s">
        <v>15221</v>
      </c>
      <c r="AT933" t="s">
        <v>15012</v>
      </c>
      <c r="AU933">
        <v>2007</v>
      </c>
      <c r="AV933">
        <v>28</v>
      </c>
      <c r="AW933">
        <v>1</v>
      </c>
      <c r="AX933" t="s">
        <v>74</v>
      </c>
      <c r="AY933" t="s">
        <v>74</v>
      </c>
      <c r="AZ933" t="s">
        <v>74</v>
      </c>
      <c r="BA933" t="s">
        <v>74</v>
      </c>
      <c r="BB933">
        <v>98</v>
      </c>
      <c r="BC933">
        <v>118</v>
      </c>
      <c r="BD933" t="s">
        <v>74</v>
      </c>
      <c r="BE933" t="s">
        <v>15222</v>
      </c>
      <c r="BF933" t="str">
        <f>HYPERLINK("http://dx.doi.org/10.1016/j.astropartphys.2007.04.007","http://dx.doi.org/10.1016/j.astropartphys.2007.04.007")</f>
        <v>http://dx.doi.org/10.1016/j.astropartphys.2007.04.007</v>
      </c>
      <c r="BG933" t="s">
        <v>74</v>
      </c>
      <c r="BH933" t="s">
        <v>74</v>
      </c>
      <c r="BI933">
        <v>21</v>
      </c>
      <c r="BJ933" t="s">
        <v>8536</v>
      </c>
      <c r="BK933" t="s">
        <v>97</v>
      </c>
      <c r="BL933" t="s">
        <v>8537</v>
      </c>
      <c r="BM933" t="s">
        <v>15223</v>
      </c>
      <c r="BN933" t="s">
        <v>74</v>
      </c>
      <c r="BO933" t="s">
        <v>74</v>
      </c>
      <c r="BP933" t="s">
        <v>74</v>
      </c>
      <c r="BQ933" t="s">
        <v>74</v>
      </c>
      <c r="BR933" t="s">
        <v>100</v>
      </c>
      <c r="BS933" t="s">
        <v>15224</v>
      </c>
      <c r="BT933" t="str">
        <f>HYPERLINK("https%3A%2F%2Fwww.webofscience.com%2Fwos%2Fwoscc%2Ffull-record%2FWOS:000250355200009","View Full Record in Web of Science")</f>
        <v>View Full Record in Web of Science</v>
      </c>
    </row>
    <row r="934" spans="1:72" x14ac:dyDescent="0.15">
      <c r="A934" t="s">
        <v>72</v>
      </c>
      <c r="B934" t="s">
        <v>15225</v>
      </c>
      <c r="C934" t="s">
        <v>74</v>
      </c>
      <c r="D934" t="s">
        <v>74</v>
      </c>
      <c r="E934" t="s">
        <v>74</v>
      </c>
      <c r="F934" t="s">
        <v>15226</v>
      </c>
      <c r="G934" t="s">
        <v>74</v>
      </c>
      <c r="H934" t="s">
        <v>74</v>
      </c>
      <c r="I934" t="s">
        <v>15227</v>
      </c>
      <c r="J934" t="s">
        <v>15228</v>
      </c>
      <c r="K934" t="s">
        <v>74</v>
      </c>
      <c r="L934" t="s">
        <v>74</v>
      </c>
      <c r="M934" t="s">
        <v>78</v>
      </c>
      <c r="N934" t="s">
        <v>106</v>
      </c>
      <c r="O934" t="s">
        <v>74</v>
      </c>
      <c r="P934" t="s">
        <v>74</v>
      </c>
      <c r="Q934" t="s">
        <v>74</v>
      </c>
      <c r="R934" t="s">
        <v>74</v>
      </c>
      <c r="S934" t="s">
        <v>74</v>
      </c>
      <c r="T934" t="s">
        <v>74</v>
      </c>
      <c r="U934" t="s">
        <v>15229</v>
      </c>
      <c r="V934" t="s">
        <v>15230</v>
      </c>
      <c r="W934" t="s">
        <v>15231</v>
      </c>
      <c r="X934" t="s">
        <v>4724</v>
      </c>
      <c r="Y934" t="s">
        <v>15232</v>
      </c>
      <c r="Z934" t="s">
        <v>15233</v>
      </c>
      <c r="AA934" t="s">
        <v>15234</v>
      </c>
      <c r="AB934" t="s">
        <v>74</v>
      </c>
      <c r="AC934" t="s">
        <v>74</v>
      </c>
      <c r="AD934" t="s">
        <v>74</v>
      </c>
      <c r="AE934" t="s">
        <v>74</v>
      </c>
      <c r="AF934" t="s">
        <v>74</v>
      </c>
      <c r="AG934">
        <v>224</v>
      </c>
      <c r="AH934">
        <v>11</v>
      </c>
      <c r="AI934">
        <v>11</v>
      </c>
      <c r="AJ934">
        <v>0</v>
      </c>
      <c r="AK934">
        <v>2</v>
      </c>
      <c r="AL934" t="s">
        <v>15235</v>
      </c>
      <c r="AM934" t="s">
        <v>9847</v>
      </c>
      <c r="AN934" t="s">
        <v>15236</v>
      </c>
      <c r="AO934" t="s">
        <v>15237</v>
      </c>
      <c r="AP934" t="s">
        <v>74</v>
      </c>
      <c r="AQ934" t="s">
        <v>74</v>
      </c>
      <c r="AR934" t="s">
        <v>15238</v>
      </c>
      <c r="AS934" t="s">
        <v>15239</v>
      </c>
      <c r="AT934" t="s">
        <v>15012</v>
      </c>
      <c r="AU934">
        <v>2007</v>
      </c>
      <c r="AV934">
        <v>56</v>
      </c>
      <c r="AW934">
        <v>3</v>
      </c>
      <c r="AX934" t="s">
        <v>74</v>
      </c>
      <c r="AY934" t="s">
        <v>74</v>
      </c>
      <c r="AZ934" t="s">
        <v>74</v>
      </c>
      <c r="BA934" t="s">
        <v>74</v>
      </c>
      <c r="BB934">
        <v>153</v>
      </c>
      <c r="BC934">
        <v>166</v>
      </c>
      <c r="BD934" t="s">
        <v>74</v>
      </c>
      <c r="BE934" t="s">
        <v>74</v>
      </c>
      <c r="BF934" t="s">
        <v>74</v>
      </c>
      <c r="BG934" t="s">
        <v>74</v>
      </c>
      <c r="BH934" t="s">
        <v>74</v>
      </c>
      <c r="BI934">
        <v>14</v>
      </c>
      <c r="BJ934" t="s">
        <v>204</v>
      </c>
      <c r="BK934" t="s">
        <v>97</v>
      </c>
      <c r="BL934" t="s">
        <v>204</v>
      </c>
      <c r="BM934" t="s">
        <v>15240</v>
      </c>
      <c r="BN934" t="s">
        <v>74</v>
      </c>
      <c r="BO934" t="s">
        <v>74</v>
      </c>
      <c r="BP934" t="s">
        <v>74</v>
      </c>
      <c r="BQ934" t="s">
        <v>74</v>
      </c>
      <c r="BR934" t="s">
        <v>100</v>
      </c>
      <c r="BS934" t="s">
        <v>15241</v>
      </c>
      <c r="BT934" t="str">
        <f>HYPERLINK("https%3A%2F%2Fwww.webofscience.com%2Fwos%2Fwoscc%2Ffull-record%2FWOS:000252258500002","View Full Record in Web of Science")</f>
        <v>View Full Record in Web of Science</v>
      </c>
    </row>
    <row r="935" spans="1:72" x14ac:dyDescent="0.15">
      <c r="A935" t="s">
        <v>72</v>
      </c>
      <c r="B935" t="s">
        <v>15242</v>
      </c>
      <c r="C935" t="s">
        <v>74</v>
      </c>
      <c r="D935" t="s">
        <v>74</v>
      </c>
      <c r="E935" t="s">
        <v>74</v>
      </c>
      <c r="F935" t="s">
        <v>15243</v>
      </c>
      <c r="G935" t="s">
        <v>74</v>
      </c>
      <c r="H935" t="s">
        <v>74</v>
      </c>
      <c r="I935" t="s">
        <v>15244</v>
      </c>
      <c r="J935" t="s">
        <v>15228</v>
      </c>
      <c r="K935" t="s">
        <v>74</v>
      </c>
      <c r="L935" t="s">
        <v>74</v>
      </c>
      <c r="M935" t="s">
        <v>78</v>
      </c>
      <c r="N935" t="s">
        <v>79</v>
      </c>
      <c r="O935" t="s">
        <v>74</v>
      </c>
      <c r="P935" t="s">
        <v>74</v>
      </c>
      <c r="Q935" t="s">
        <v>74</v>
      </c>
      <c r="R935" t="s">
        <v>74</v>
      </c>
      <c r="S935" t="s">
        <v>74</v>
      </c>
      <c r="T935" t="s">
        <v>74</v>
      </c>
      <c r="U935" t="s">
        <v>74</v>
      </c>
      <c r="V935" t="s">
        <v>15245</v>
      </c>
      <c r="W935" t="s">
        <v>15246</v>
      </c>
      <c r="X935" t="s">
        <v>15247</v>
      </c>
      <c r="Y935" t="s">
        <v>15248</v>
      </c>
      <c r="Z935" t="s">
        <v>15249</v>
      </c>
      <c r="AA935" t="s">
        <v>74</v>
      </c>
      <c r="AB935" t="s">
        <v>74</v>
      </c>
      <c r="AC935" t="s">
        <v>74</v>
      </c>
      <c r="AD935" t="s">
        <v>74</v>
      </c>
      <c r="AE935" t="s">
        <v>74</v>
      </c>
      <c r="AF935" t="s">
        <v>74</v>
      </c>
      <c r="AG935">
        <v>14</v>
      </c>
      <c r="AH935">
        <v>6</v>
      </c>
      <c r="AI935">
        <v>6</v>
      </c>
      <c r="AJ935">
        <v>0</v>
      </c>
      <c r="AK935">
        <v>1</v>
      </c>
      <c r="AL935" t="s">
        <v>15235</v>
      </c>
      <c r="AM935" t="s">
        <v>9847</v>
      </c>
      <c r="AN935" t="s">
        <v>15236</v>
      </c>
      <c r="AO935" t="s">
        <v>15237</v>
      </c>
      <c r="AP935" t="s">
        <v>74</v>
      </c>
      <c r="AQ935" t="s">
        <v>74</v>
      </c>
      <c r="AR935" t="s">
        <v>15238</v>
      </c>
      <c r="AS935" t="s">
        <v>15239</v>
      </c>
      <c r="AT935" t="s">
        <v>15012</v>
      </c>
      <c r="AU935">
        <v>2007</v>
      </c>
      <c r="AV935">
        <v>56</v>
      </c>
      <c r="AW935">
        <v>3</v>
      </c>
      <c r="AX935" t="s">
        <v>74</v>
      </c>
      <c r="AY935" t="s">
        <v>74</v>
      </c>
      <c r="AZ935" t="s">
        <v>74</v>
      </c>
      <c r="BA935" t="s">
        <v>74</v>
      </c>
      <c r="BB935">
        <v>203</v>
      </c>
      <c r="BC935">
        <v>214</v>
      </c>
      <c r="BD935" t="s">
        <v>74</v>
      </c>
      <c r="BE935" t="s">
        <v>74</v>
      </c>
      <c r="BF935" t="s">
        <v>74</v>
      </c>
      <c r="BG935" t="s">
        <v>74</v>
      </c>
      <c r="BH935" t="s">
        <v>74</v>
      </c>
      <c r="BI935">
        <v>12</v>
      </c>
      <c r="BJ935" t="s">
        <v>204</v>
      </c>
      <c r="BK935" t="s">
        <v>97</v>
      </c>
      <c r="BL935" t="s">
        <v>204</v>
      </c>
      <c r="BM935" t="s">
        <v>15240</v>
      </c>
      <c r="BN935" t="s">
        <v>74</v>
      </c>
      <c r="BO935" t="s">
        <v>74</v>
      </c>
      <c r="BP935" t="s">
        <v>74</v>
      </c>
      <c r="BQ935" t="s">
        <v>74</v>
      </c>
      <c r="BR935" t="s">
        <v>100</v>
      </c>
      <c r="BS935" t="s">
        <v>15250</v>
      </c>
      <c r="BT935" t="str">
        <f>HYPERLINK("https%3A%2F%2Fwww.webofscience.com%2Fwos%2Fwoscc%2Ffull-record%2FWOS:000252258500006","View Full Record in Web of Science")</f>
        <v>View Full Record in Web of Science</v>
      </c>
    </row>
    <row r="936" spans="1:72" x14ac:dyDescent="0.15">
      <c r="A936" t="s">
        <v>72</v>
      </c>
      <c r="B936" t="s">
        <v>15251</v>
      </c>
      <c r="C936" t="s">
        <v>74</v>
      </c>
      <c r="D936" t="s">
        <v>74</v>
      </c>
      <c r="E936" t="s">
        <v>74</v>
      </c>
      <c r="F936" t="s">
        <v>15252</v>
      </c>
      <c r="G936" t="s">
        <v>74</v>
      </c>
      <c r="H936" t="s">
        <v>74</v>
      </c>
      <c r="I936" t="s">
        <v>15253</v>
      </c>
      <c r="J936" t="s">
        <v>15254</v>
      </c>
      <c r="K936" t="s">
        <v>74</v>
      </c>
      <c r="L936" t="s">
        <v>74</v>
      </c>
      <c r="M936" t="s">
        <v>78</v>
      </c>
      <c r="N936" t="s">
        <v>79</v>
      </c>
      <c r="O936" t="s">
        <v>74</v>
      </c>
      <c r="P936" t="s">
        <v>74</v>
      </c>
      <c r="Q936" t="s">
        <v>74</v>
      </c>
      <c r="R936" t="s">
        <v>74</v>
      </c>
      <c r="S936" t="s">
        <v>74</v>
      </c>
      <c r="T936" t="s">
        <v>15255</v>
      </c>
      <c r="U936" t="s">
        <v>15256</v>
      </c>
      <c r="V936" t="s">
        <v>15257</v>
      </c>
      <c r="W936" t="s">
        <v>15258</v>
      </c>
      <c r="X936" t="s">
        <v>15259</v>
      </c>
      <c r="Y936" t="s">
        <v>15260</v>
      </c>
      <c r="Z936" t="s">
        <v>15261</v>
      </c>
      <c r="AA936" t="s">
        <v>74</v>
      </c>
      <c r="AB936" t="s">
        <v>74</v>
      </c>
      <c r="AC936" t="s">
        <v>74</v>
      </c>
      <c r="AD936" t="s">
        <v>74</v>
      </c>
      <c r="AE936" t="s">
        <v>74</v>
      </c>
      <c r="AF936" t="s">
        <v>74</v>
      </c>
      <c r="AG936">
        <v>28</v>
      </c>
      <c r="AH936">
        <v>6</v>
      </c>
      <c r="AI936">
        <v>6</v>
      </c>
      <c r="AJ936">
        <v>0</v>
      </c>
      <c r="AK936">
        <v>18</v>
      </c>
      <c r="AL936" t="s">
        <v>15262</v>
      </c>
      <c r="AM936" t="s">
        <v>15263</v>
      </c>
      <c r="AN936" t="s">
        <v>15264</v>
      </c>
      <c r="AO936" t="s">
        <v>15265</v>
      </c>
      <c r="AP936" t="s">
        <v>15266</v>
      </c>
      <c r="AQ936" t="s">
        <v>74</v>
      </c>
      <c r="AR936" t="s">
        <v>15267</v>
      </c>
      <c r="AS936" t="s">
        <v>15268</v>
      </c>
      <c r="AT936" t="s">
        <v>15012</v>
      </c>
      <c r="AU936">
        <v>2007</v>
      </c>
      <c r="AV936">
        <v>78</v>
      </c>
      <c r="AW936">
        <v>9</v>
      </c>
      <c r="AX936" t="s">
        <v>74</v>
      </c>
      <c r="AY936" t="s">
        <v>74</v>
      </c>
      <c r="AZ936" t="s">
        <v>74</v>
      </c>
      <c r="BA936" t="s">
        <v>74</v>
      </c>
      <c r="BB936">
        <v>886</v>
      </c>
      <c r="BC936">
        <v>892</v>
      </c>
      <c r="BD936" t="s">
        <v>74</v>
      </c>
      <c r="BE936" t="s">
        <v>74</v>
      </c>
      <c r="BF936" t="s">
        <v>74</v>
      </c>
      <c r="BG936" t="s">
        <v>74</v>
      </c>
      <c r="BH936" t="s">
        <v>74</v>
      </c>
      <c r="BI936">
        <v>7</v>
      </c>
      <c r="BJ936" t="s">
        <v>15269</v>
      </c>
      <c r="BK936" t="s">
        <v>669</v>
      </c>
      <c r="BL936" t="s">
        <v>15270</v>
      </c>
      <c r="BM936" t="s">
        <v>15271</v>
      </c>
      <c r="BN936">
        <v>17891899</v>
      </c>
      <c r="BO936" t="s">
        <v>74</v>
      </c>
      <c r="BP936" t="s">
        <v>74</v>
      </c>
      <c r="BQ936" t="s">
        <v>74</v>
      </c>
      <c r="BR936" t="s">
        <v>100</v>
      </c>
      <c r="BS936" t="s">
        <v>15272</v>
      </c>
      <c r="BT936" t="str">
        <f>HYPERLINK("https%3A%2F%2Fwww.webofscience.com%2Fwos%2Fwoscc%2Ffull-record%2FWOS:000249175800007","View Full Record in Web of Science")</f>
        <v>View Full Record in Web of Science</v>
      </c>
    </row>
    <row r="937" spans="1:72" x14ac:dyDescent="0.15">
      <c r="A937" t="s">
        <v>72</v>
      </c>
      <c r="B937" t="s">
        <v>15273</v>
      </c>
      <c r="C937" t="s">
        <v>74</v>
      </c>
      <c r="D937" t="s">
        <v>74</v>
      </c>
      <c r="E937" t="s">
        <v>74</v>
      </c>
      <c r="F937" t="s">
        <v>15274</v>
      </c>
      <c r="G937" t="s">
        <v>74</v>
      </c>
      <c r="H937" t="s">
        <v>74</v>
      </c>
      <c r="I937" t="s">
        <v>15275</v>
      </c>
      <c r="J937" t="s">
        <v>15276</v>
      </c>
      <c r="K937" t="s">
        <v>74</v>
      </c>
      <c r="L937" t="s">
        <v>74</v>
      </c>
      <c r="M937" t="s">
        <v>78</v>
      </c>
      <c r="N937" t="s">
        <v>79</v>
      </c>
      <c r="O937" t="s">
        <v>74</v>
      </c>
      <c r="P937" t="s">
        <v>74</v>
      </c>
      <c r="Q937" t="s">
        <v>74</v>
      </c>
      <c r="R937" t="s">
        <v>74</v>
      </c>
      <c r="S937" t="s">
        <v>74</v>
      </c>
      <c r="T937" t="s">
        <v>74</v>
      </c>
      <c r="U937" t="s">
        <v>15277</v>
      </c>
      <c r="V937" t="s">
        <v>15278</v>
      </c>
      <c r="W937" t="s">
        <v>15279</v>
      </c>
      <c r="X937" t="s">
        <v>10522</v>
      </c>
      <c r="Y937" t="s">
        <v>15280</v>
      </c>
      <c r="Z937" t="s">
        <v>15281</v>
      </c>
      <c r="AA937" t="s">
        <v>15282</v>
      </c>
      <c r="AB937" t="s">
        <v>15283</v>
      </c>
      <c r="AC937" t="s">
        <v>74</v>
      </c>
      <c r="AD937" t="s">
        <v>74</v>
      </c>
      <c r="AE937" t="s">
        <v>74</v>
      </c>
      <c r="AF937" t="s">
        <v>74</v>
      </c>
      <c r="AG937">
        <v>36</v>
      </c>
      <c r="AH937">
        <v>60</v>
      </c>
      <c r="AI937">
        <v>71</v>
      </c>
      <c r="AJ937">
        <v>0</v>
      </c>
      <c r="AK937">
        <v>15</v>
      </c>
      <c r="AL937" t="s">
        <v>1265</v>
      </c>
      <c r="AM937" t="s">
        <v>1317</v>
      </c>
      <c r="AN937" t="s">
        <v>2701</v>
      </c>
      <c r="AO937" t="s">
        <v>15284</v>
      </c>
      <c r="AP937" t="s">
        <v>15285</v>
      </c>
      <c r="AQ937" t="s">
        <v>74</v>
      </c>
      <c r="AR937" t="s">
        <v>15286</v>
      </c>
      <c r="AS937" t="s">
        <v>15287</v>
      </c>
      <c r="AT937" t="s">
        <v>15288</v>
      </c>
      <c r="AU937">
        <v>2007</v>
      </c>
      <c r="AV937">
        <v>12</v>
      </c>
      <c r="AW937">
        <v>3</v>
      </c>
      <c r="AX937" t="s">
        <v>74</v>
      </c>
      <c r="AY937" t="s">
        <v>74</v>
      </c>
      <c r="AZ937" t="s">
        <v>74</v>
      </c>
      <c r="BA937" t="s">
        <v>74</v>
      </c>
      <c r="BB937">
        <v>275</v>
      </c>
      <c r="BC937">
        <v>282</v>
      </c>
      <c r="BD937" t="s">
        <v>74</v>
      </c>
      <c r="BE937" t="s">
        <v>15289</v>
      </c>
      <c r="BF937" t="str">
        <f>HYPERLINK("http://dx.doi.org/10.1379/CSC-271.1","http://dx.doi.org/10.1379/CSC-271.1")</f>
        <v>http://dx.doi.org/10.1379/CSC-271.1</v>
      </c>
      <c r="BG937" t="s">
        <v>74</v>
      </c>
      <c r="BH937" t="s">
        <v>74</v>
      </c>
      <c r="BI937">
        <v>8</v>
      </c>
      <c r="BJ937" t="s">
        <v>15290</v>
      </c>
      <c r="BK937" t="s">
        <v>97</v>
      </c>
      <c r="BL937" t="s">
        <v>15290</v>
      </c>
      <c r="BM937" t="s">
        <v>15291</v>
      </c>
      <c r="BN937">
        <v>17915560</v>
      </c>
      <c r="BO937" t="s">
        <v>3777</v>
      </c>
      <c r="BP937" t="s">
        <v>74</v>
      </c>
      <c r="BQ937" t="s">
        <v>74</v>
      </c>
      <c r="BR937" t="s">
        <v>100</v>
      </c>
      <c r="BS937" t="s">
        <v>15292</v>
      </c>
      <c r="BT937" t="str">
        <f>HYPERLINK("https%3A%2F%2Fwww.webofscience.com%2Fwos%2Fwoscc%2Ffull-record%2FWOS:000249490200009","View Full Record in Web of Science")</f>
        <v>View Full Record in Web of Science</v>
      </c>
    </row>
    <row r="938" spans="1:72" x14ac:dyDescent="0.15">
      <c r="A938" t="s">
        <v>72</v>
      </c>
      <c r="B938" t="s">
        <v>15293</v>
      </c>
      <c r="C938" t="s">
        <v>74</v>
      </c>
      <c r="D938" t="s">
        <v>74</v>
      </c>
      <c r="E938" t="s">
        <v>74</v>
      </c>
      <c r="F938" t="s">
        <v>15294</v>
      </c>
      <c r="G938" t="s">
        <v>74</v>
      </c>
      <c r="H938" t="s">
        <v>74</v>
      </c>
      <c r="I938" t="s">
        <v>15295</v>
      </c>
      <c r="J938" t="s">
        <v>15296</v>
      </c>
      <c r="K938" t="s">
        <v>74</v>
      </c>
      <c r="L938" t="s">
        <v>74</v>
      </c>
      <c r="M938" t="s">
        <v>78</v>
      </c>
      <c r="N938" t="s">
        <v>79</v>
      </c>
      <c r="O938" t="s">
        <v>74</v>
      </c>
      <c r="P938" t="s">
        <v>74</v>
      </c>
      <c r="Q938" t="s">
        <v>74</v>
      </c>
      <c r="R938" t="s">
        <v>74</v>
      </c>
      <c r="S938" t="s">
        <v>74</v>
      </c>
      <c r="T938" t="s">
        <v>15297</v>
      </c>
      <c r="U938" t="s">
        <v>15298</v>
      </c>
      <c r="V938" t="s">
        <v>15299</v>
      </c>
      <c r="W938" t="s">
        <v>15300</v>
      </c>
      <c r="X938" t="s">
        <v>15301</v>
      </c>
      <c r="Y938" t="s">
        <v>15302</v>
      </c>
      <c r="Z938" t="s">
        <v>15303</v>
      </c>
      <c r="AA938" t="s">
        <v>74</v>
      </c>
      <c r="AB938" t="s">
        <v>15304</v>
      </c>
      <c r="AC938" t="s">
        <v>74</v>
      </c>
      <c r="AD938" t="s">
        <v>74</v>
      </c>
      <c r="AE938" t="s">
        <v>74</v>
      </c>
      <c r="AF938" t="s">
        <v>74</v>
      </c>
      <c r="AG938">
        <v>20</v>
      </c>
      <c r="AH938">
        <v>2</v>
      </c>
      <c r="AI938">
        <v>2</v>
      </c>
      <c r="AJ938">
        <v>0</v>
      </c>
      <c r="AK938">
        <v>0</v>
      </c>
      <c r="AL938" t="s">
        <v>15305</v>
      </c>
      <c r="AM938" t="s">
        <v>15306</v>
      </c>
      <c r="AN938" t="s">
        <v>15307</v>
      </c>
      <c r="AO938" t="s">
        <v>15308</v>
      </c>
      <c r="AP938" t="s">
        <v>74</v>
      </c>
      <c r="AQ938" t="s">
        <v>74</v>
      </c>
      <c r="AR938" t="s">
        <v>15309</v>
      </c>
      <c r="AS938" t="s">
        <v>15310</v>
      </c>
      <c r="AT938" t="s">
        <v>15012</v>
      </c>
      <c r="AU938">
        <v>2007</v>
      </c>
      <c r="AV938">
        <v>2</v>
      </c>
      <c r="AW938">
        <v>3</v>
      </c>
      <c r="AX938" t="s">
        <v>74</v>
      </c>
      <c r="AY938" t="s">
        <v>74</v>
      </c>
      <c r="AZ938" t="s">
        <v>74</v>
      </c>
      <c r="BA938" t="s">
        <v>74</v>
      </c>
      <c r="BB938">
        <v>378</v>
      </c>
      <c r="BC938">
        <v>384</v>
      </c>
      <c r="BD938" t="s">
        <v>74</v>
      </c>
      <c r="BE938" t="s">
        <v>15311</v>
      </c>
      <c r="BF938" t="str">
        <f>HYPERLINK("http://dx.doi.org/10.2478/s11535-007-0025-y","http://dx.doi.org/10.2478/s11535-007-0025-y")</f>
        <v>http://dx.doi.org/10.2478/s11535-007-0025-y</v>
      </c>
      <c r="BG938" t="s">
        <v>74</v>
      </c>
      <c r="BH938" t="s">
        <v>74</v>
      </c>
      <c r="BI938">
        <v>7</v>
      </c>
      <c r="BJ938" t="s">
        <v>4848</v>
      </c>
      <c r="BK938" t="s">
        <v>97</v>
      </c>
      <c r="BL938" t="s">
        <v>4849</v>
      </c>
      <c r="BM938" t="s">
        <v>15312</v>
      </c>
      <c r="BN938" t="s">
        <v>74</v>
      </c>
      <c r="BO938" t="s">
        <v>11211</v>
      </c>
      <c r="BP938" t="s">
        <v>74</v>
      </c>
      <c r="BQ938" t="s">
        <v>74</v>
      </c>
      <c r="BR938" t="s">
        <v>100</v>
      </c>
      <c r="BS938" t="s">
        <v>15313</v>
      </c>
      <c r="BT938" t="str">
        <f>HYPERLINK("https%3A%2F%2Fwww.webofscience.com%2Fwos%2Fwoscc%2Ffull-record%2FWOS:000249984400006","View Full Record in Web of Science")</f>
        <v>View Full Record in Web of Science</v>
      </c>
    </row>
    <row r="939" spans="1:72" x14ac:dyDescent="0.15">
      <c r="A939" t="s">
        <v>72</v>
      </c>
      <c r="B939" t="s">
        <v>15314</v>
      </c>
      <c r="C939" t="s">
        <v>74</v>
      </c>
      <c r="D939" t="s">
        <v>74</v>
      </c>
      <c r="E939" t="s">
        <v>74</v>
      </c>
      <c r="F939" t="s">
        <v>15315</v>
      </c>
      <c r="G939" t="s">
        <v>74</v>
      </c>
      <c r="H939" t="s">
        <v>74</v>
      </c>
      <c r="I939" t="s">
        <v>15316</v>
      </c>
      <c r="J939" t="s">
        <v>2949</v>
      </c>
      <c r="K939" t="s">
        <v>74</v>
      </c>
      <c r="L939" t="s">
        <v>74</v>
      </c>
      <c r="M939" t="s">
        <v>78</v>
      </c>
      <c r="N939" t="s">
        <v>79</v>
      </c>
      <c r="O939" t="s">
        <v>74</v>
      </c>
      <c r="P939" t="s">
        <v>74</v>
      </c>
      <c r="Q939" t="s">
        <v>74</v>
      </c>
      <c r="R939" t="s">
        <v>74</v>
      </c>
      <c r="S939" t="s">
        <v>74</v>
      </c>
      <c r="T939" t="s">
        <v>15317</v>
      </c>
      <c r="U939" t="s">
        <v>15318</v>
      </c>
      <c r="V939" t="s">
        <v>15319</v>
      </c>
      <c r="W939" t="s">
        <v>15320</v>
      </c>
      <c r="X939" t="s">
        <v>15321</v>
      </c>
      <c r="Y939" t="s">
        <v>15322</v>
      </c>
      <c r="Z939" t="s">
        <v>15323</v>
      </c>
      <c r="AA939" t="s">
        <v>15324</v>
      </c>
      <c r="AB939" t="s">
        <v>15325</v>
      </c>
      <c r="AC939" t="s">
        <v>74</v>
      </c>
      <c r="AD939" t="s">
        <v>74</v>
      </c>
      <c r="AE939" t="s">
        <v>74</v>
      </c>
      <c r="AF939" t="s">
        <v>74</v>
      </c>
      <c r="AG939">
        <v>28</v>
      </c>
      <c r="AH939">
        <v>20</v>
      </c>
      <c r="AI939">
        <v>23</v>
      </c>
      <c r="AJ939">
        <v>2</v>
      </c>
      <c r="AK939">
        <v>32</v>
      </c>
      <c r="AL939" t="s">
        <v>2958</v>
      </c>
      <c r="AM939" t="s">
        <v>2939</v>
      </c>
      <c r="AN939" t="s">
        <v>2940</v>
      </c>
      <c r="AO939" t="s">
        <v>2959</v>
      </c>
      <c r="AP939" t="s">
        <v>2960</v>
      </c>
      <c r="AQ939" t="s">
        <v>74</v>
      </c>
      <c r="AR939" t="s">
        <v>2961</v>
      </c>
      <c r="AS939" t="s">
        <v>2962</v>
      </c>
      <c r="AT939" t="s">
        <v>15012</v>
      </c>
      <c r="AU939">
        <v>2007</v>
      </c>
      <c r="AV939">
        <v>52</v>
      </c>
      <c r="AW939">
        <v>17</v>
      </c>
      <c r="AX939" t="s">
        <v>74</v>
      </c>
      <c r="AY939" t="s">
        <v>74</v>
      </c>
      <c r="AZ939" t="s">
        <v>74</v>
      </c>
      <c r="BA939" t="s">
        <v>74</v>
      </c>
      <c r="BB939">
        <v>2350</v>
      </c>
      <c r="BC939">
        <v>2357</v>
      </c>
      <c r="BD939" t="s">
        <v>74</v>
      </c>
      <c r="BE939" t="s">
        <v>15326</v>
      </c>
      <c r="BF939" t="str">
        <f>HYPERLINK("http://dx.doi.org/10.1007/s11434-007-0360-4","http://dx.doi.org/10.1007/s11434-007-0360-4")</f>
        <v>http://dx.doi.org/10.1007/s11434-007-0360-4</v>
      </c>
      <c r="BG939" t="s">
        <v>74</v>
      </c>
      <c r="BH939" t="s">
        <v>74</v>
      </c>
      <c r="BI939">
        <v>8</v>
      </c>
      <c r="BJ939" t="s">
        <v>684</v>
      </c>
      <c r="BK939" t="s">
        <v>97</v>
      </c>
      <c r="BL939" t="s">
        <v>685</v>
      </c>
      <c r="BM939" t="s">
        <v>15327</v>
      </c>
      <c r="BN939" t="s">
        <v>74</v>
      </c>
      <c r="BO939" t="s">
        <v>74</v>
      </c>
      <c r="BP939" t="s">
        <v>74</v>
      </c>
      <c r="BQ939" t="s">
        <v>74</v>
      </c>
      <c r="BR939" t="s">
        <v>100</v>
      </c>
      <c r="BS939" t="s">
        <v>15328</v>
      </c>
      <c r="BT939" t="str">
        <f>HYPERLINK("https%3A%2F%2Fwww.webofscience.com%2Fwos%2Fwoscc%2Ffull-record%2FWOS:000249381100009","View Full Record in Web of Science")</f>
        <v>View Full Record in Web of Science</v>
      </c>
    </row>
    <row r="940" spans="1:72" x14ac:dyDescent="0.15">
      <c r="A940" t="s">
        <v>72</v>
      </c>
      <c r="B940" t="s">
        <v>15329</v>
      </c>
      <c r="C940" t="s">
        <v>74</v>
      </c>
      <c r="D940" t="s">
        <v>74</v>
      </c>
      <c r="E940" t="s">
        <v>74</v>
      </c>
      <c r="F940" t="s">
        <v>15330</v>
      </c>
      <c r="G940" t="s">
        <v>74</v>
      </c>
      <c r="H940" t="s">
        <v>74</v>
      </c>
      <c r="I940" t="s">
        <v>15331</v>
      </c>
      <c r="J940" t="s">
        <v>2949</v>
      </c>
      <c r="K940" t="s">
        <v>74</v>
      </c>
      <c r="L940" t="s">
        <v>74</v>
      </c>
      <c r="M940" t="s">
        <v>78</v>
      </c>
      <c r="N940" t="s">
        <v>79</v>
      </c>
      <c r="O940" t="s">
        <v>74</v>
      </c>
      <c r="P940" t="s">
        <v>74</v>
      </c>
      <c r="Q940" t="s">
        <v>74</v>
      </c>
      <c r="R940" t="s">
        <v>74</v>
      </c>
      <c r="S940" t="s">
        <v>74</v>
      </c>
      <c r="T940" t="s">
        <v>15332</v>
      </c>
      <c r="U940" t="s">
        <v>15333</v>
      </c>
      <c r="V940" t="s">
        <v>15334</v>
      </c>
      <c r="W940" t="s">
        <v>15335</v>
      </c>
      <c r="X940" t="s">
        <v>15336</v>
      </c>
      <c r="Y940" t="s">
        <v>15337</v>
      </c>
      <c r="Z940" t="s">
        <v>15338</v>
      </c>
      <c r="AA940" t="s">
        <v>15339</v>
      </c>
      <c r="AB940" t="s">
        <v>15340</v>
      </c>
      <c r="AC940" t="s">
        <v>74</v>
      </c>
      <c r="AD940" t="s">
        <v>74</v>
      </c>
      <c r="AE940" t="s">
        <v>74</v>
      </c>
      <c r="AF940" t="s">
        <v>74</v>
      </c>
      <c r="AG940">
        <v>43</v>
      </c>
      <c r="AH940">
        <v>18</v>
      </c>
      <c r="AI940">
        <v>25</v>
      </c>
      <c r="AJ940">
        <v>3</v>
      </c>
      <c r="AK940">
        <v>30</v>
      </c>
      <c r="AL940" t="s">
        <v>2958</v>
      </c>
      <c r="AM940" t="s">
        <v>2939</v>
      </c>
      <c r="AN940" t="s">
        <v>2940</v>
      </c>
      <c r="AO940" t="s">
        <v>2959</v>
      </c>
      <c r="AP940" t="s">
        <v>2960</v>
      </c>
      <c r="AQ940" t="s">
        <v>74</v>
      </c>
      <c r="AR940" t="s">
        <v>2961</v>
      </c>
      <c r="AS940" t="s">
        <v>2962</v>
      </c>
      <c r="AT940" t="s">
        <v>15012</v>
      </c>
      <c r="AU940">
        <v>2007</v>
      </c>
      <c r="AV940">
        <v>52</v>
      </c>
      <c r="AW940">
        <v>18</v>
      </c>
      <c r="AX940" t="s">
        <v>74</v>
      </c>
      <c r="AY940" t="s">
        <v>74</v>
      </c>
      <c r="AZ940" t="s">
        <v>74</v>
      </c>
      <c r="BA940" t="s">
        <v>74</v>
      </c>
      <c r="BB940">
        <v>2575</v>
      </c>
      <c r="BC940">
        <v>2583</v>
      </c>
      <c r="BD940" t="s">
        <v>74</v>
      </c>
      <c r="BE940" t="s">
        <v>15341</v>
      </c>
      <c r="BF940" t="str">
        <f>HYPERLINK("http://dx.doi.org/10.1007/s11434-007-0381-z","http://dx.doi.org/10.1007/s11434-007-0381-z")</f>
        <v>http://dx.doi.org/10.1007/s11434-007-0381-z</v>
      </c>
      <c r="BG940" t="s">
        <v>74</v>
      </c>
      <c r="BH940" t="s">
        <v>74</v>
      </c>
      <c r="BI940">
        <v>9</v>
      </c>
      <c r="BJ940" t="s">
        <v>684</v>
      </c>
      <c r="BK940" t="s">
        <v>97</v>
      </c>
      <c r="BL940" t="s">
        <v>685</v>
      </c>
      <c r="BM940" t="s">
        <v>15342</v>
      </c>
      <c r="BN940" t="s">
        <v>74</v>
      </c>
      <c r="BO940" t="s">
        <v>74</v>
      </c>
      <c r="BP940" t="s">
        <v>74</v>
      </c>
      <c r="BQ940" t="s">
        <v>74</v>
      </c>
      <c r="BR940" t="s">
        <v>100</v>
      </c>
      <c r="BS940" t="s">
        <v>15343</v>
      </c>
      <c r="BT940" t="str">
        <f>HYPERLINK("https%3A%2F%2Fwww.webofscience.com%2Fwos%2Fwoscc%2Ffull-record%2FWOS:000249915500017","View Full Record in Web of Science")</f>
        <v>View Full Record in Web of Science</v>
      </c>
    </row>
    <row r="941" spans="1:72" x14ac:dyDescent="0.15">
      <c r="A941" t="s">
        <v>72</v>
      </c>
      <c r="B941" t="s">
        <v>15344</v>
      </c>
      <c r="C941" t="s">
        <v>74</v>
      </c>
      <c r="D941" t="s">
        <v>74</v>
      </c>
      <c r="E941" t="s">
        <v>74</v>
      </c>
      <c r="F941" t="s">
        <v>15345</v>
      </c>
      <c r="G941" t="s">
        <v>74</v>
      </c>
      <c r="H941" t="s">
        <v>74</v>
      </c>
      <c r="I941" t="s">
        <v>15346</v>
      </c>
      <c r="J941" t="s">
        <v>15347</v>
      </c>
      <c r="K941" t="s">
        <v>74</v>
      </c>
      <c r="L941" t="s">
        <v>74</v>
      </c>
      <c r="M941" t="s">
        <v>78</v>
      </c>
      <c r="N941" t="s">
        <v>79</v>
      </c>
      <c r="O941" t="s">
        <v>74</v>
      </c>
      <c r="P941" t="s">
        <v>74</v>
      </c>
      <c r="Q941" t="s">
        <v>74</v>
      </c>
      <c r="R941" t="s">
        <v>74</v>
      </c>
      <c r="S941" t="s">
        <v>74</v>
      </c>
      <c r="T941" t="s">
        <v>15348</v>
      </c>
      <c r="U941" t="s">
        <v>15349</v>
      </c>
      <c r="V941" t="s">
        <v>15350</v>
      </c>
      <c r="W941" t="s">
        <v>15351</v>
      </c>
      <c r="X941" t="s">
        <v>15352</v>
      </c>
      <c r="Y941" t="s">
        <v>15353</v>
      </c>
      <c r="Z941" t="s">
        <v>15354</v>
      </c>
      <c r="AA941" t="s">
        <v>15355</v>
      </c>
      <c r="AB941" t="s">
        <v>15356</v>
      </c>
      <c r="AC941" t="s">
        <v>74</v>
      </c>
      <c r="AD941" t="s">
        <v>74</v>
      </c>
      <c r="AE941" t="s">
        <v>74</v>
      </c>
      <c r="AF941" t="s">
        <v>74</v>
      </c>
      <c r="AG941">
        <v>61</v>
      </c>
      <c r="AH941">
        <v>22</v>
      </c>
      <c r="AI941">
        <v>28</v>
      </c>
      <c r="AJ941">
        <v>0</v>
      </c>
      <c r="AK941">
        <v>19</v>
      </c>
      <c r="AL941" t="s">
        <v>661</v>
      </c>
      <c r="AM941" t="s">
        <v>662</v>
      </c>
      <c r="AN941" t="s">
        <v>10933</v>
      </c>
      <c r="AO941" t="s">
        <v>15357</v>
      </c>
      <c r="AP941" t="s">
        <v>74</v>
      </c>
      <c r="AQ941" t="s">
        <v>74</v>
      </c>
      <c r="AR941" t="s">
        <v>15358</v>
      </c>
      <c r="AS941" t="s">
        <v>15359</v>
      </c>
      <c r="AT941" t="s">
        <v>15012</v>
      </c>
      <c r="AU941">
        <v>2007</v>
      </c>
      <c r="AV941">
        <v>148</v>
      </c>
      <c r="AW941">
        <v>1</v>
      </c>
      <c r="AX941" t="s">
        <v>74</v>
      </c>
      <c r="AY941" t="s">
        <v>74</v>
      </c>
      <c r="AZ941" t="s">
        <v>74</v>
      </c>
      <c r="BA941" t="s">
        <v>74</v>
      </c>
      <c r="BB941">
        <v>65</v>
      </c>
      <c r="BC941">
        <v>73</v>
      </c>
      <c r="BD941" t="s">
        <v>74</v>
      </c>
      <c r="BE941" t="s">
        <v>15360</v>
      </c>
      <c r="BF941" t="str">
        <f>HYPERLINK("http://dx.doi.org/10.1016/j.cbpb.2007.04.019","http://dx.doi.org/10.1016/j.cbpb.2007.04.019")</f>
        <v>http://dx.doi.org/10.1016/j.cbpb.2007.04.019</v>
      </c>
      <c r="BG941" t="s">
        <v>74</v>
      </c>
      <c r="BH941" t="s">
        <v>74</v>
      </c>
      <c r="BI941">
        <v>9</v>
      </c>
      <c r="BJ941" t="s">
        <v>15361</v>
      </c>
      <c r="BK941" t="s">
        <v>97</v>
      </c>
      <c r="BL941" t="s">
        <v>15361</v>
      </c>
      <c r="BM941" t="s">
        <v>15362</v>
      </c>
      <c r="BN941">
        <v>17574467</v>
      </c>
      <c r="BO941" t="s">
        <v>74</v>
      </c>
      <c r="BP941" t="s">
        <v>74</v>
      </c>
      <c r="BQ941" t="s">
        <v>74</v>
      </c>
      <c r="BR941" t="s">
        <v>100</v>
      </c>
      <c r="BS941" t="s">
        <v>15363</v>
      </c>
      <c r="BT941" t="str">
        <f>HYPERLINK("https%3A%2F%2Fwww.webofscience.com%2Fwos%2Fwoscc%2Ffull-record%2FWOS:000249193600008","View Full Record in Web of Science")</f>
        <v>View Full Record in Web of Science</v>
      </c>
    </row>
    <row r="942" spans="1:72" x14ac:dyDescent="0.15">
      <c r="A942" t="s">
        <v>72</v>
      </c>
      <c r="B942" t="s">
        <v>15364</v>
      </c>
      <c r="C942" t="s">
        <v>74</v>
      </c>
      <c r="D942" t="s">
        <v>74</v>
      </c>
      <c r="E942" t="s">
        <v>74</v>
      </c>
      <c r="F942" t="s">
        <v>15365</v>
      </c>
      <c r="G942" t="s">
        <v>74</v>
      </c>
      <c r="H942" t="s">
        <v>74</v>
      </c>
      <c r="I942" t="s">
        <v>15366</v>
      </c>
      <c r="J942" t="s">
        <v>15367</v>
      </c>
      <c r="K942" t="s">
        <v>74</v>
      </c>
      <c r="L942" t="s">
        <v>74</v>
      </c>
      <c r="M942" t="s">
        <v>78</v>
      </c>
      <c r="N942" t="s">
        <v>79</v>
      </c>
      <c r="O942" t="s">
        <v>74</v>
      </c>
      <c r="P942" t="s">
        <v>74</v>
      </c>
      <c r="Q942" t="s">
        <v>74</v>
      </c>
      <c r="R942" t="s">
        <v>74</v>
      </c>
      <c r="S942" t="s">
        <v>74</v>
      </c>
      <c r="T942" t="s">
        <v>74</v>
      </c>
      <c r="U942" t="s">
        <v>15368</v>
      </c>
      <c r="V942" t="s">
        <v>15369</v>
      </c>
      <c r="W942" t="s">
        <v>15370</v>
      </c>
      <c r="X942" t="s">
        <v>15371</v>
      </c>
      <c r="Y942" t="s">
        <v>15372</v>
      </c>
      <c r="Z942" t="s">
        <v>15373</v>
      </c>
      <c r="AA942" t="s">
        <v>15374</v>
      </c>
      <c r="AB942" t="s">
        <v>15375</v>
      </c>
      <c r="AC942" t="s">
        <v>74</v>
      </c>
      <c r="AD942" t="s">
        <v>74</v>
      </c>
      <c r="AE942" t="s">
        <v>74</v>
      </c>
      <c r="AF942" t="s">
        <v>74</v>
      </c>
      <c r="AG942">
        <v>65</v>
      </c>
      <c r="AH942">
        <v>11</v>
      </c>
      <c r="AI942">
        <v>14</v>
      </c>
      <c r="AJ942">
        <v>1</v>
      </c>
      <c r="AK942">
        <v>20</v>
      </c>
      <c r="AL942" t="s">
        <v>15376</v>
      </c>
      <c r="AM942" t="s">
        <v>662</v>
      </c>
      <c r="AN942" t="s">
        <v>15377</v>
      </c>
      <c r="AO942" t="s">
        <v>15378</v>
      </c>
      <c r="AP942" t="s">
        <v>15379</v>
      </c>
      <c r="AQ942" t="s">
        <v>74</v>
      </c>
      <c r="AR942" t="s">
        <v>15380</v>
      </c>
      <c r="AS942" t="s">
        <v>15381</v>
      </c>
      <c r="AT942" t="s">
        <v>15191</v>
      </c>
      <c r="AU942">
        <v>2007</v>
      </c>
      <c r="AV942">
        <v>41</v>
      </c>
      <c r="AW942">
        <v>5</v>
      </c>
      <c r="AX942" t="s">
        <v>74</v>
      </c>
      <c r="AY942" t="s">
        <v>74</v>
      </c>
      <c r="AZ942" t="s">
        <v>74</v>
      </c>
      <c r="BA942" t="s">
        <v>74</v>
      </c>
      <c r="BB942">
        <v>308</v>
      </c>
      <c r="BC942">
        <v>316</v>
      </c>
      <c r="BD942" t="s">
        <v>74</v>
      </c>
      <c r="BE942" t="s">
        <v>15382</v>
      </c>
      <c r="BF942" t="str">
        <f>HYPERLINK("http://dx.doi.org/10.3103/S009545270705009X","http://dx.doi.org/10.3103/S009545270705009X")</f>
        <v>http://dx.doi.org/10.3103/S009545270705009X</v>
      </c>
      <c r="BG942" t="s">
        <v>74</v>
      </c>
      <c r="BH942" t="s">
        <v>74</v>
      </c>
      <c r="BI942">
        <v>9</v>
      </c>
      <c r="BJ942" t="s">
        <v>8639</v>
      </c>
      <c r="BK942" t="s">
        <v>97</v>
      </c>
      <c r="BL942" t="s">
        <v>8639</v>
      </c>
      <c r="BM942" t="s">
        <v>15383</v>
      </c>
      <c r="BN942" t="s">
        <v>74</v>
      </c>
      <c r="BO942" t="s">
        <v>1050</v>
      </c>
      <c r="BP942" t="s">
        <v>74</v>
      </c>
      <c r="BQ942" t="s">
        <v>74</v>
      </c>
      <c r="BR942" t="s">
        <v>100</v>
      </c>
      <c r="BS942" t="s">
        <v>15384</v>
      </c>
      <c r="BT942" t="str">
        <f>HYPERLINK("https%3A%2F%2Fwww.webofscience.com%2Fwos%2Fwoscc%2Ffull-record%2FWOS:000254921700009","View Full Record in Web of Science")</f>
        <v>View Full Record in Web of Science</v>
      </c>
    </row>
    <row r="943" spans="1:72" x14ac:dyDescent="0.15">
      <c r="A943" t="s">
        <v>72</v>
      </c>
      <c r="B943" t="s">
        <v>15385</v>
      </c>
      <c r="C943" t="s">
        <v>74</v>
      </c>
      <c r="D943" t="s">
        <v>74</v>
      </c>
      <c r="E943" t="s">
        <v>74</v>
      </c>
      <c r="F943" t="s">
        <v>15386</v>
      </c>
      <c r="G943" t="s">
        <v>74</v>
      </c>
      <c r="H943" t="s">
        <v>74</v>
      </c>
      <c r="I943" t="s">
        <v>15387</v>
      </c>
      <c r="J943" t="s">
        <v>15388</v>
      </c>
      <c r="K943" t="s">
        <v>74</v>
      </c>
      <c r="L943" t="s">
        <v>74</v>
      </c>
      <c r="M943" t="s">
        <v>78</v>
      </c>
      <c r="N943" t="s">
        <v>79</v>
      </c>
      <c r="O943" t="s">
        <v>74</v>
      </c>
      <c r="P943" t="s">
        <v>74</v>
      </c>
      <c r="Q943" t="s">
        <v>74</v>
      </c>
      <c r="R943" t="s">
        <v>74</v>
      </c>
      <c r="S943" t="s">
        <v>74</v>
      </c>
      <c r="T943" t="s">
        <v>15389</v>
      </c>
      <c r="U943" t="s">
        <v>15390</v>
      </c>
      <c r="V943" t="s">
        <v>15391</v>
      </c>
      <c r="W943" t="s">
        <v>15392</v>
      </c>
      <c r="X943" t="s">
        <v>15393</v>
      </c>
      <c r="Y943" t="s">
        <v>15394</v>
      </c>
      <c r="Z943" t="s">
        <v>15395</v>
      </c>
      <c r="AA943" t="s">
        <v>74</v>
      </c>
      <c r="AB943" t="s">
        <v>74</v>
      </c>
      <c r="AC943" t="s">
        <v>74</v>
      </c>
      <c r="AD943" t="s">
        <v>74</v>
      </c>
      <c r="AE943" t="s">
        <v>74</v>
      </c>
      <c r="AF943" t="s">
        <v>74</v>
      </c>
      <c r="AG943">
        <v>65</v>
      </c>
      <c r="AH943">
        <v>48</v>
      </c>
      <c r="AI943">
        <v>53</v>
      </c>
      <c r="AJ943">
        <v>4</v>
      </c>
      <c r="AK943">
        <v>43</v>
      </c>
      <c r="AL943" t="s">
        <v>1219</v>
      </c>
      <c r="AM943" t="s">
        <v>89</v>
      </c>
      <c r="AN943" t="s">
        <v>90</v>
      </c>
      <c r="AO943" t="s">
        <v>15396</v>
      </c>
      <c r="AP943" t="s">
        <v>15397</v>
      </c>
      <c r="AQ943" t="s">
        <v>74</v>
      </c>
      <c r="AR943" t="s">
        <v>15398</v>
      </c>
      <c r="AS943" t="s">
        <v>15399</v>
      </c>
      <c r="AT943" t="s">
        <v>15012</v>
      </c>
      <c r="AU943">
        <v>2007</v>
      </c>
      <c r="AV943">
        <v>13</v>
      </c>
      <c r="AW943">
        <v>5</v>
      </c>
      <c r="AX943" t="s">
        <v>74</v>
      </c>
      <c r="AY943" t="s">
        <v>74</v>
      </c>
      <c r="AZ943" t="s">
        <v>74</v>
      </c>
      <c r="BA943" t="s">
        <v>74</v>
      </c>
      <c r="BB943">
        <v>544</v>
      </c>
      <c r="BC943">
        <v>555</v>
      </c>
      <c r="BD943" t="s">
        <v>74</v>
      </c>
      <c r="BE943" t="s">
        <v>15400</v>
      </c>
      <c r="BF943" t="str">
        <f>HYPERLINK("http://dx.doi.org/10.1111/j.1472-4642.2007.00362.x","http://dx.doi.org/10.1111/j.1472-4642.2007.00362.x")</f>
        <v>http://dx.doi.org/10.1111/j.1472-4642.2007.00362.x</v>
      </c>
      <c r="BG943" t="s">
        <v>74</v>
      </c>
      <c r="BH943" t="s">
        <v>74</v>
      </c>
      <c r="BI943">
        <v>12</v>
      </c>
      <c r="BJ943" t="s">
        <v>7282</v>
      </c>
      <c r="BK943" t="s">
        <v>97</v>
      </c>
      <c r="BL943" t="s">
        <v>7283</v>
      </c>
      <c r="BM943" t="s">
        <v>15401</v>
      </c>
      <c r="BN943" t="s">
        <v>74</v>
      </c>
      <c r="BO943" t="s">
        <v>649</v>
      </c>
      <c r="BP943" t="s">
        <v>74</v>
      </c>
      <c r="BQ943" t="s">
        <v>74</v>
      </c>
      <c r="BR943" t="s">
        <v>100</v>
      </c>
      <c r="BS943" t="s">
        <v>15402</v>
      </c>
      <c r="BT943" t="str">
        <f>HYPERLINK("https%3A%2F%2Fwww.webofscience.com%2Fwos%2Fwoscc%2Ffull-record%2FWOS:000248967400007","View Full Record in Web of Science")</f>
        <v>View Full Record in Web of Science</v>
      </c>
    </row>
    <row r="944" spans="1:72" x14ac:dyDescent="0.15">
      <c r="A944" t="s">
        <v>72</v>
      </c>
      <c r="B944" t="s">
        <v>15403</v>
      </c>
      <c r="C944" t="s">
        <v>74</v>
      </c>
      <c r="D944" t="s">
        <v>74</v>
      </c>
      <c r="E944" t="s">
        <v>74</v>
      </c>
      <c r="F944" t="s">
        <v>15404</v>
      </c>
      <c r="G944" t="s">
        <v>74</v>
      </c>
      <c r="H944" t="s">
        <v>74</v>
      </c>
      <c r="I944" t="s">
        <v>15405</v>
      </c>
      <c r="J944" t="s">
        <v>15388</v>
      </c>
      <c r="K944" t="s">
        <v>74</v>
      </c>
      <c r="L944" t="s">
        <v>74</v>
      </c>
      <c r="M944" t="s">
        <v>78</v>
      </c>
      <c r="N944" t="s">
        <v>79</v>
      </c>
      <c r="O944" t="s">
        <v>74</v>
      </c>
      <c r="P944" t="s">
        <v>74</v>
      </c>
      <c r="Q944" t="s">
        <v>74</v>
      </c>
      <c r="R944" t="s">
        <v>74</v>
      </c>
      <c r="S944" t="s">
        <v>74</v>
      </c>
      <c r="T944" t="s">
        <v>15406</v>
      </c>
      <c r="U944" t="s">
        <v>15407</v>
      </c>
      <c r="V944" t="s">
        <v>15408</v>
      </c>
      <c r="W944" t="s">
        <v>15409</v>
      </c>
      <c r="X944" t="s">
        <v>440</v>
      </c>
      <c r="Y944" t="s">
        <v>15410</v>
      </c>
      <c r="Z944" t="s">
        <v>6165</v>
      </c>
      <c r="AA944" t="s">
        <v>4461</v>
      </c>
      <c r="AB944" t="s">
        <v>15411</v>
      </c>
      <c r="AC944" t="s">
        <v>6468</v>
      </c>
      <c r="AD944" t="s">
        <v>242</v>
      </c>
      <c r="AE944" t="s">
        <v>74</v>
      </c>
      <c r="AF944" t="s">
        <v>74</v>
      </c>
      <c r="AG944">
        <v>55</v>
      </c>
      <c r="AH944">
        <v>84</v>
      </c>
      <c r="AI944">
        <v>87</v>
      </c>
      <c r="AJ944">
        <v>2</v>
      </c>
      <c r="AK944">
        <v>15</v>
      </c>
      <c r="AL944" t="s">
        <v>1219</v>
      </c>
      <c r="AM944" t="s">
        <v>89</v>
      </c>
      <c r="AN944" t="s">
        <v>90</v>
      </c>
      <c r="AO944" t="s">
        <v>15396</v>
      </c>
      <c r="AP944" t="s">
        <v>15397</v>
      </c>
      <c r="AQ944" t="s">
        <v>74</v>
      </c>
      <c r="AR944" t="s">
        <v>15398</v>
      </c>
      <c r="AS944" t="s">
        <v>15399</v>
      </c>
      <c r="AT944" t="s">
        <v>15012</v>
      </c>
      <c r="AU944">
        <v>2007</v>
      </c>
      <c r="AV944">
        <v>13</v>
      </c>
      <c r="AW944">
        <v>5</v>
      </c>
      <c r="AX944" t="s">
        <v>74</v>
      </c>
      <c r="AY944" t="s">
        <v>74</v>
      </c>
      <c r="AZ944" t="s">
        <v>74</v>
      </c>
      <c r="BA944" t="s">
        <v>74</v>
      </c>
      <c r="BB944">
        <v>620</v>
      </c>
      <c r="BC944">
        <v>632</v>
      </c>
      <c r="BD944" t="s">
        <v>74</v>
      </c>
      <c r="BE944" t="s">
        <v>15412</v>
      </c>
      <c r="BF944" t="str">
        <f>HYPERLINK("http://dx.doi.org/10.1111/j.1472-4642.2007.00380.x","http://dx.doi.org/10.1111/j.1472-4642.2007.00380.x")</f>
        <v>http://dx.doi.org/10.1111/j.1472-4642.2007.00380.x</v>
      </c>
      <c r="BG944" t="s">
        <v>74</v>
      </c>
      <c r="BH944" t="s">
        <v>74</v>
      </c>
      <c r="BI944">
        <v>13</v>
      </c>
      <c r="BJ944" t="s">
        <v>7282</v>
      </c>
      <c r="BK944" t="s">
        <v>97</v>
      </c>
      <c r="BL944" t="s">
        <v>7283</v>
      </c>
      <c r="BM944" t="s">
        <v>15401</v>
      </c>
      <c r="BN944" t="s">
        <v>74</v>
      </c>
      <c r="BO944" t="s">
        <v>74</v>
      </c>
      <c r="BP944" t="s">
        <v>74</v>
      </c>
      <c r="BQ944" t="s">
        <v>74</v>
      </c>
      <c r="BR944" t="s">
        <v>100</v>
      </c>
      <c r="BS944" t="s">
        <v>15413</v>
      </c>
      <c r="BT944" t="str">
        <f>HYPERLINK("https%3A%2F%2Fwww.webofscience.com%2Fwos%2Fwoscc%2Ffull-record%2FWOS:000248967400015","View Full Record in Web of Science")</f>
        <v>View Full Record in Web of Science</v>
      </c>
    </row>
    <row r="945" spans="1:72" x14ac:dyDescent="0.15">
      <c r="A945" t="s">
        <v>72</v>
      </c>
      <c r="B945" t="s">
        <v>15414</v>
      </c>
      <c r="C945" t="s">
        <v>74</v>
      </c>
      <c r="D945" t="s">
        <v>74</v>
      </c>
      <c r="E945" t="s">
        <v>74</v>
      </c>
      <c r="F945" t="s">
        <v>15415</v>
      </c>
      <c r="G945" t="s">
        <v>74</v>
      </c>
      <c r="H945" t="s">
        <v>74</v>
      </c>
      <c r="I945" t="s">
        <v>15416</v>
      </c>
      <c r="J945" t="s">
        <v>15417</v>
      </c>
      <c r="K945" t="s">
        <v>74</v>
      </c>
      <c r="L945" t="s">
        <v>74</v>
      </c>
      <c r="M945" t="s">
        <v>78</v>
      </c>
      <c r="N945" t="s">
        <v>79</v>
      </c>
      <c r="O945" t="s">
        <v>74</v>
      </c>
      <c r="P945" t="s">
        <v>74</v>
      </c>
      <c r="Q945" t="s">
        <v>74</v>
      </c>
      <c r="R945" t="s">
        <v>74</v>
      </c>
      <c r="S945" t="s">
        <v>74</v>
      </c>
      <c r="T945" t="s">
        <v>15418</v>
      </c>
      <c r="U945" t="s">
        <v>15419</v>
      </c>
      <c r="V945" t="s">
        <v>15420</v>
      </c>
      <c r="W945" t="s">
        <v>15421</v>
      </c>
      <c r="X945" t="s">
        <v>15259</v>
      </c>
      <c r="Y945" t="s">
        <v>15422</v>
      </c>
      <c r="Z945" t="s">
        <v>74</v>
      </c>
      <c r="AA945" t="s">
        <v>74</v>
      </c>
      <c r="AB945" t="s">
        <v>74</v>
      </c>
      <c r="AC945" t="s">
        <v>74</v>
      </c>
      <c r="AD945" t="s">
        <v>74</v>
      </c>
      <c r="AE945" t="s">
        <v>74</v>
      </c>
      <c r="AF945" t="s">
        <v>74</v>
      </c>
      <c r="AG945">
        <v>43</v>
      </c>
      <c r="AH945">
        <v>8</v>
      </c>
      <c r="AI945">
        <v>10</v>
      </c>
      <c r="AJ945">
        <v>0</v>
      </c>
      <c r="AK945">
        <v>12</v>
      </c>
      <c r="AL945" t="s">
        <v>15423</v>
      </c>
      <c r="AM945" t="s">
        <v>15424</v>
      </c>
      <c r="AN945" t="s">
        <v>15425</v>
      </c>
      <c r="AO945" t="s">
        <v>15426</v>
      </c>
      <c r="AP945" t="s">
        <v>15427</v>
      </c>
      <c r="AQ945" t="s">
        <v>74</v>
      </c>
      <c r="AR945" t="s">
        <v>15428</v>
      </c>
      <c r="AS945" t="s">
        <v>15429</v>
      </c>
      <c r="AT945" t="s">
        <v>15012</v>
      </c>
      <c r="AU945">
        <v>2007</v>
      </c>
      <c r="AV945">
        <v>39</v>
      </c>
      <c r="AW945">
        <v>5</v>
      </c>
      <c r="AX945" t="s">
        <v>74</v>
      </c>
      <c r="AY945" t="s">
        <v>74</v>
      </c>
      <c r="AZ945" t="s">
        <v>74</v>
      </c>
      <c r="BA945" t="s">
        <v>74</v>
      </c>
      <c r="BB945">
        <v>706</v>
      </c>
      <c r="BC945">
        <v>723</v>
      </c>
      <c r="BD945" t="s">
        <v>74</v>
      </c>
      <c r="BE945" t="s">
        <v>15430</v>
      </c>
      <c r="BF945" t="str">
        <f>HYPERLINK("http://dx.doi.org/10.1177/0013916506293428","http://dx.doi.org/10.1177/0013916506293428")</f>
        <v>http://dx.doi.org/10.1177/0013916506293428</v>
      </c>
      <c r="BG945" t="s">
        <v>74</v>
      </c>
      <c r="BH945" t="s">
        <v>74</v>
      </c>
      <c r="BI945">
        <v>18</v>
      </c>
      <c r="BJ945" t="s">
        <v>15431</v>
      </c>
      <c r="BK945" t="s">
        <v>2526</v>
      </c>
      <c r="BL945" t="s">
        <v>15432</v>
      </c>
      <c r="BM945" t="s">
        <v>15433</v>
      </c>
      <c r="BN945" t="s">
        <v>74</v>
      </c>
      <c r="BO945" t="s">
        <v>74</v>
      </c>
      <c r="BP945" t="s">
        <v>74</v>
      </c>
      <c r="BQ945" t="s">
        <v>74</v>
      </c>
      <c r="BR945" t="s">
        <v>100</v>
      </c>
      <c r="BS945" t="s">
        <v>15434</v>
      </c>
      <c r="BT945" t="str">
        <f>HYPERLINK("https%3A%2F%2Fwww.webofscience.com%2Fwos%2Fwoscc%2Ffull-record%2FWOS:000248756800006","View Full Record in Web of Science")</f>
        <v>View Full Record in Web of Science</v>
      </c>
    </row>
    <row r="946" spans="1:72" x14ac:dyDescent="0.15">
      <c r="A946" t="s">
        <v>72</v>
      </c>
      <c r="B946" t="s">
        <v>15435</v>
      </c>
      <c r="C946" t="s">
        <v>74</v>
      </c>
      <c r="D946" t="s">
        <v>74</v>
      </c>
      <c r="E946" t="s">
        <v>74</v>
      </c>
      <c r="F946" t="s">
        <v>15436</v>
      </c>
      <c r="G946" t="s">
        <v>74</v>
      </c>
      <c r="H946" t="s">
        <v>74</v>
      </c>
      <c r="I946" t="s">
        <v>15437</v>
      </c>
      <c r="J946" t="s">
        <v>15438</v>
      </c>
      <c r="K946" t="s">
        <v>74</v>
      </c>
      <c r="L946" t="s">
        <v>74</v>
      </c>
      <c r="M946" t="s">
        <v>78</v>
      </c>
      <c r="N946" t="s">
        <v>79</v>
      </c>
      <c r="O946" t="s">
        <v>74</v>
      </c>
      <c r="P946" t="s">
        <v>74</v>
      </c>
      <c r="Q946" t="s">
        <v>74</v>
      </c>
      <c r="R946" t="s">
        <v>74</v>
      </c>
      <c r="S946" t="s">
        <v>74</v>
      </c>
      <c r="T946" t="s">
        <v>15439</v>
      </c>
      <c r="U946" t="s">
        <v>15440</v>
      </c>
      <c r="V946" t="s">
        <v>15441</v>
      </c>
      <c r="W946" t="s">
        <v>15442</v>
      </c>
      <c r="X946" t="s">
        <v>12738</v>
      </c>
      <c r="Y946" t="s">
        <v>15443</v>
      </c>
      <c r="Z946" t="s">
        <v>15444</v>
      </c>
      <c r="AA946" t="s">
        <v>15445</v>
      </c>
      <c r="AB946" t="s">
        <v>15446</v>
      </c>
      <c r="AC946" t="s">
        <v>74</v>
      </c>
      <c r="AD946" t="s">
        <v>74</v>
      </c>
      <c r="AE946" t="s">
        <v>74</v>
      </c>
      <c r="AF946" t="s">
        <v>74</v>
      </c>
      <c r="AG946">
        <v>56</v>
      </c>
      <c r="AH946">
        <v>69</v>
      </c>
      <c r="AI946">
        <v>77</v>
      </c>
      <c r="AJ946">
        <v>1</v>
      </c>
      <c r="AK946">
        <v>68</v>
      </c>
      <c r="AL946" t="s">
        <v>1240</v>
      </c>
      <c r="AM946" t="s">
        <v>1241</v>
      </c>
      <c r="AN946" t="s">
        <v>1242</v>
      </c>
      <c r="AO946" t="s">
        <v>15447</v>
      </c>
      <c r="AP946" t="s">
        <v>15448</v>
      </c>
      <c r="AQ946" t="s">
        <v>74</v>
      </c>
      <c r="AR946" t="s">
        <v>15449</v>
      </c>
      <c r="AS946" t="s">
        <v>15450</v>
      </c>
      <c r="AT946" t="s">
        <v>15012</v>
      </c>
      <c r="AU946">
        <v>2007</v>
      </c>
      <c r="AV946">
        <v>14</v>
      </c>
      <c r="AW946">
        <v>6</v>
      </c>
      <c r="AX946" t="s">
        <v>74</v>
      </c>
      <c r="AY946" t="s">
        <v>74</v>
      </c>
      <c r="AZ946" t="s">
        <v>74</v>
      </c>
      <c r="BA946" t="s">
        <v>74</v>
      </c>
      <c r="BB946">
        <v>421</v>
      </c>
      <c r="BC946">
        <v>429</v>
      </c>
      <c r="BD946" t="s">
        <v>74</v>
      </c>
      <c r="BE946" t="s">
        <v>15451</v>
      </c>
      <c r="BF946" t="str">
        <f>HYPERLINK("http://dx.doi.org/10.1065/espr2006.01.017","http://dx.doi.org/10.1065/espr2006.01.017")</f>
        <v>http://dx.doi.org/10.1065/espr2006.01.017</v>
      </c>
      <c r="BG946" t="s">
        <v>74</v>
      </c>
      <c r="BH946" t="s">
        <v>74</v>
      </c>
      <c r="BI946">
        <v>9</v>
      </c>
      <c r="BJ946" t="s">
        <v>274</v>
      </c>
      <c r="BK946" t="s">
        <v>97</v>
      </c>
      <c r="BL946" t="s">
        <v>275</v>
      </c>
      <c r="BM946" t="s">
        <v>15452</v>
      </c>
      <c r="BN946">
        <v>17993226</v>
      </c>
      <c r="BO946" t="s">
        <v>74</v>
      </c>
      <c r="BP946" t="s">
        <v>74</v>
      </c>
      <c r="BQ946" t="s">
        <v>74</v>
      </c>
      <c r="BR946" t="s">
        <v>100</v>
      </c>
      <c r="BS946" t="s">
        <v>15453</v>
      </c>
      <c r="BT946" t="str">
        <f>HYPERLINK("https%3A%2F%2Fwww.webofscience.com%2Fwos%2Fwoscc%2Ffull-record%2FWOS:000251154900009","View Full Record in Web of Science")</f>
        <v>View Full Record in Web of Science</v>
      </c>
    </row>
    <row r="947" spans="1:72" x14ac:dyDescent="0.15">
      <c r="A947" t="s">
        <v>72</v>
      </c>
      <c r="B947" t="s">
        <v>15454</v>
      </c>
      <c r="C947" t="s">
        <v>74</v>
      </c>
      <c r="D947" t="s">
        <v>74</v>
      </c>
      <c r="E947" t="s">
        <v>74</v>
      </c>
      <c r="F947" t="s">
        <v>15455</v>
      </c>
      <c r="G947" t="s">
        <v>74</v>
      </c>
      <c r="H947" t="s">
        <v>74</v>
      </c>
      <c r="I947" t="s">
        <v>15456</v>
      </c>
      <c r="J947" t="s">
        <v>4131</v>
      </c>
      <c r="K947" t="s">
        <v>74</v>
      </c>
      <c r="L947" t="s">
        <v>74</v>
      </c>
      <c r="M947" t="s">
        <v>78</v>
      </c>
      <c r="N947" t="s">
        <v>79</v>
      </c>
      <c r="O947" t="s">
        <v>74</v>
      </c>
      <c r="P947" t="s">
        <v>74</v>
      </c>
      <c r="Q947" t="s">
        <v>74</v>
      </c>
      <c r="R947" t="s">
        <v>74</v>
      </c>
      <c r="S947" t="s">
        <v>74</v>
      </c>
      <c r="T947" t="s">
        <v>15457</v>
      </c>
      <c r="U947" t="s">
        <v>15458</v>
      </c>
      <c r="V947" t="s">
        <v>15459</v>
      </c>
      <c r="W947" t="s">
        <v>15460</v>
      </c>
      <c r="X947" t="s">
        <v>15461</v>
      </c>
      <c r="Y947" t="s">
        <v>15462</v>
      </c>
      <c r="Z947" t="s">
        <v>15463</v>
      </c>
      <c r="AA947" t="s">
        <v>15464</v>
      </c>
      <c r="AB947" t="s">
        <v>15465</v>
      </c>
      <c r="AC947" t="s">
        <v>74</v>
      </c>
      <c r="AD947" t="s">
        <v>74</v>
      </c>
      <c r="AE947" t="s">
        <v>74</v>
      </c>
      <c r="AF947" t="s">
        <v>74</v>
      </c>
      <c r="AG947">
        <v>55</v>
      </c>
      <c r="AH947">
        <v>5</v>
      </c>
      <c r="AI947">
        <v>5</v>
      </c>
      <c r="AJ947">
        <v>0</v>
      </c>
      <c r="AK947">
        <v>6</v>
      </c>
      <c r="AL947" t="s">
        <v>4139</v>
      </c>
      <c r="AM947" t="s">
        <v>804</v>
      </c>
      <c r="AN947" t="s">
        <v>4140</v>
      </c>
      <c r="AO947" t="s">
        <v>4141</v>
      </c>
      <c r="AP947" t="s">
        <v>4142</v>
      </c>
      <c r="AQ947" t="s">
        <v>74</v>
      </c>
      <c r="AR947" t="s">
        <v>4131</v>
      </c>
      <c r="AS947" t="s">
        <v>4143</v>
      </c>
      <c r="AT947" t="s">
        <v>15012</v>
      </c>
      <c r="AU947">
        <v>2007</v>
      </c>
      <c r="AV947">
        <v>11</v>
      </c>
      <c r="AW947">
        <v>5</v>
      </c>
      <c r="AX947" t="s">
        <v>74</v>
      </c>
      <c r="AY947" t="s">
        <v>74</v>
      </c>
      <c r="AZ947" t="s">
        <v>74</v>
      </c>
      <c r="BA947" t="s">
        <v>74</v>
      </c>
      <c r="BB947">
        <v>699</v>
      </c>
      <c r="BC947">
        <v>709</v>
      </c>
      <c r="BD947" t="s">
        <v>74</v>
      </c>
      <c r="BE947" t="s">
        <v>15466</v>
      </c>
      <c r="BF947" t="str">
        <f>HYPERLINK("http://dx.doi.org/10.1007/s00792-007-0088-8","http://dx.doi.org/10.1007/s00792-007-0088-8")</f>
        <v>http://dx.doi.org/10.1007/s00792-007-0088-8</v>
      </c>
      <c r="BG947" t="s">
        <v>74</v>
      </c>
      <c r="BH947" t="s">
        <v>74</v>
      </c>
      <c r="BI947">
        <v>11</v>
      </c>
      <c r="BJ947" t="s">
        <v>4145</v>
      </c>
      <c r="BK947" t="s">
        <v>97</v>
      </c>
      <c r="BL947" t="s">
        <v>4145</v>
      </c>
      <c r="BM947" t="s">
        <v>15467</v>
      </c>
      <c r="BN947">
        <v>17541754</v>
      </c>
      <c r="BO947" t="s">
        <v>74</v>
      </c>
      <c r="BP947" t="s">
        <v>74</v>
      </c>
      <c r="BQ947" t="s">
        <v>74</v>
      </c>
      <c r="BR947" t="s">
        <v>100</v>
      </c>
      <c r="BS947" t="s">
        <v>15468</v>
      </c>
      <c r="BT947" t="str">
        <f>HYPERLINK("https%3A%2F%2Fwww.webofscience.com%2Fwos%2Fwoscc%2Ffull-record%2FWOS:000249119300007","View Full Record in Web of Science")</f>
        <v>View Full Record in Web of Science</v>
      </c>
    </row>
    <row r="948" spans="1:72" x14ac:dyDescent="0.15">
      <c r="A948" t="s">
        <v>72</v>
      </c>
      <c r="B948" t="s">
        <v>15469</v>
      </c>
      <c r="C948" t="s">
        <v>74</v>
      </c>
      <c r="D948" t="s">
        <v>74</v>
      </c>
      <c r="E948" t="s">
        <v>74</v>
      </c>
      <c r="F948" t="s">
        <v>15470</v>
      </c>
      <c r="G948" t="s">
        <v>74</v>
      </c>
      <c r="H948" t="s">
        <v>74</v>
      </c>
      <c r="I948" t="s">
        <v>15471</v>
      </c>
      <c r="J948" t="s">
        <v>9883</v>
      </c>
      <c r="K948" t="s">
        <v>74</v>
      </c>
      <c r="L948" t="s">
        <v>74</v>
      </c>
      <c r="M948" t="s">
        <v>78</v>
      </c>
      <c r="N948" t="s">
        <v>79</v>
      </c>
      <c r="O948" t="s">
        <v>74</v>
      </c>
      <c r="P948" t="s">
        <v>74</v>
      </c>
      <c r="Q948" t="s">
        <v>74</v>
      </c>
      <c r="R948" t="s">
        <v>74</v>
      </c>
      <c r="S948" t="s">
        <v>74</v>
      </c>
      <c r="T948" t="s">
        <v>15472</v>
      </c>
      <c r="U948" t="s">
        <v>15473</v>
      </c>
      <c r="V948" t="s">
        <v>15474</v>
      </c>
      <c r="W948" t="s">
        <v>15475</v>
      </c>
      <c r="X948" t="s">
        <v>15476</v>
      </c>
      <c r="Y948" t="s">
        <v>15477</v>
      </c>
      <c r="Z948" t="s">
        <v>15478</v>
      </c>
      <c r="AA948" t="s">
        <v>74</v>
      </c>
      <c r="AB948" t="s">
        <v>74</v>
      </c>
      <c r="AC948" t="s">
        <v>74</v>
      </c>
      <c r="AD948" t="s">
        <v>74</v>
      </c>
      <c r="AE948" t="s">
        <v>74</v>
      </c>
      <c r="AF948" t="s">
        <v>74</v>
      </c>
      <c r="AG948">
        <v>58</v>
      </c>
      <c r="AH948">
        <v>38</v>
      </c>
      <c r="AI948">
        <v>41</v>
      </c>
      <c r="AJ948">
        <v>1</v>
      </c>
      <c r="AK948">
        <v>20</v>
      </c>
      <c r="AL948" t="s">
        <v>1219</v>
      </c>
      <c r="AM948" t="s">
        <v>89</v>
      </c>
      <c r="AN948" t="s">
        <v>90</v>
      </c>
      <c r="AO948" t="s">
        <v>9895</v>
      </c>
      <c r="AP948" t="s">
        <v>9896</v>
      </c>
      <c r="AQ948" t="s">
        <v>74</v>
      </c>
      <c r="AR948" t="s">
        <v>9897</v>
      </c>
      <c r="AS948" t="s">
        <v>9898</v>
      </c>
      <c r="AT948" t="s">
        <v>15012</v>
      </c>
      <c r="AU948">
        <v>2007</v>
      </c>
      <c r="AV948">
        <v>274</v>
      </c>
      <c r="AW948">
        <v>17</v>
      </c>
      <c r="AX948" t="s">
        <v>74</v>
      </c>
      <c r="AY948" t="s">
        <v>74</v>
      </c>
      <c r="AZ948" t="s">
        <v>74</v>
      </c>
      <c r="BA948" t="s">
        <v>74</v>
      </c>
      <c r="BB948">
        <v>4595</v>
      </c>
      <c r="BC948">
        <v>4608</v>
      </c>
      <c r="BD948" t="s">
        <v>74</v>
      </c>
      <c r="BE948" t="s">
        <v>15479</v>
      </c>
      <c r="BF948" t="str">
        <f>HYPERLINK("http://dx.doi.org/10.1111/j.1742-4658.2007.05988.x","http://dx.doi.org/10.1111/j.1742-4658.2007.05988.x")</f>
        <v>http://dx.doi.org/10.1111/j.1742-4658.2007.05988.x</v>
      </c>
      <c r="BG948" t="s">
        <v>74</v>
      </c>
      <c r="BH948" t="s">
        <v>74</v>
      </c>
      <c r="BI948">
        <v>14</v>
      </c>
      <c r="BJ948" t="s">
        <v>7853</v>
      </c>
      <c r="BK948" t="s">
        <v>97</v>
      </c>
      <c r="BL948" t="s">
        <v>7853</v>
      </c>
      <c r="BM948" t="s">
        <v>15480</v>
      </c>
      <c r="BN948">
        <v>17697122</v>
      </c>
      <c r="BO948" t="s">
        <v>1050</v>
      </c>
      <c r="BP948" t="s">
        <v>74</v>
      </c>
      <c r="BQ948" t="s">
        <v>74</v>
      </c>
      <c r="BR948" t="s">
        <v>100</v>
      </c>
      <c r="BS948" t="s">
        <v>15481</v>
      </c>
      <c r="BT948" t="str">
        <f>HYPERLINK("https%3A%2F%2Fwww.webofscience.com%2Fwos%2Fwoscc%2Ffull-record%2FWOS:000248964100022","View Full Record in Web of Science")</f>
        <v>View Full Record in Web of Science</v>
      </c>
    </row>
    <row r="949" spans="1:72" x14ac:dyDescent="0.15">
      <c r="A949" t="s">
        <v>72</v>
      </c>
      <c r="B949" t="s">
        <v>9328</v>
      </c>
      <c r="C949" t="s">
        <v>74</v>
      </c>
      <c r="D949" t="s">
        <v>74</v>
      </c>
      <c r="E949" t="s">
        <v>74</v>
      </c>
      <c r="F949" t="s">
        <v>15482</v>
      </c>
      <c r="G949" t="s">
        <v>74</v>
      </c>
      <c r="H949" t="s">
        <v>74</v>
      </c>
      <c r="I949" t="s">
        <v>15483</v>
      </c>
      <c r="J949" t="s">
        <v>15484</v>
      </c>
      <c r="K949" t="s">
        <v>74</v>
      </c>
      <c r="L949" t="s">
        <v>74</v>
      </c>
      <c r="M949" t="s">
        <v>78</v>
      </c>
      <c r="N949" t="s">
        <v>79</v>
      </c>
      <c r="O949" t="s">
        <v>74</v>
      </c>
      <c r="P949" t="s">
        <v>74</v>
      </c>
      <c r="Q949" t="s">
        <v>74</v>
      </c>
      <c r="R949" t="s">
        <v>74</v>
      </c>
      <c r="S949" t="s">
        <v>74</v>
      </c>
      <c r="T949" t="s">
        <v>74</v>
      </c>
      <c r="U949" t="s">
        <v>74</v>
      </c>
      <c r="V949" t="s">
        <v>74</v>
      </c>
      <c r="W949" t="s">
        <v>439</v>
      </c>
      <c r="X949" t="s">
        <v>440</v>
      </c>
      <c r="Y949" t="s">
        <v>15485</v>
      </c>
      <c r="Z949" t="s">
        <v>15486</v>
      </c>
      <c r="AA949" t="s">
        <v>74</v>
      </c>
      <c r="AB949" t="s">
        <v>15487</v>
      </c>
      <c r="AC949" t="s">
        <v>15488</v>
      </c>
      <c r="AD949" t="s">
        <v>242</v>
      </c>
      <c r="AE949" t="s">
        <v>74</v>
      </c>
      <c r="AF949" t="s">
        <v>74</v>
      </c>
      <c r="AG949">
        <v>2</v>
      </c>
      <c r="AH949">
        <v>0</v>
      </c>
      <c r="AI949">
        <v>0</v>
      </c>
      <c r="AJ949">
        <v>0</v>
      </c>
      <c r="AK949">
        <v>4</v>
      </c>
      <c r="AL949" t="s">
        <v>1219</v>
      </c>
      <c r="AM949" t="s">
        <v>89</v>
      </c>
      <c r="AN949" t="s">
        <v>90</v>
      </c>
      <c r="AO949" t="s">
        <v>15489</v>
      </c>
      <c r="AP949" t="s">
        <v>15490</v>
      </c>
      <c r="AQ949" t="s">
        <v>74</v>
      </c>
      <c r="AR949" t="s">
        <v>15491</v>
      </c>
      <c r="AS949" t="s">
        <v>15492</v>
      </c>
      <c r="AT949" t="s">
        <v>15012</v>
      </c>
      <c r="AU949">
        <v>2007</v>
      </c>
      <c r="AV949">
        <v>5</v>
      </c>
      <c r="AW949">
        <v>7</v>
      </c>
      <c r="AX949" t="s">
        <v>74</v>
      </c>
      <c r="AY949" t="s">
        <v>74</v>
      </c>
      <c r="AZ949" t="s">
        <v>74</v>
      </c>
      <c r="BA949" t="s">
        <v>74</v>
      </c>
      <c r="BB949">
        <v>388</v>
      </c>
      <c r="BC949">
        <v>389</v>
      </c>
      <c r="BD949" t="s">
        <v>74</v>
      </c>
      <c r="BE949" t="s">
        <v>15493</v>
      </c>
      <c r="BF949" t="str">
        <f>HYPERLINK("http://dx.doi.org/10.1890/1540-9295(2007)5[388:LFAGSI]2.0.CO;2","http://dx.doi.org/10.1890/1540-9295(2007)5[388:LFAGSI]2.0.CO;2")</f>
        <v>http://dx.doi.org/10.1890/1540-9295(2007)5[388:LFAGSI]2.0.CO;2</v>
      </c>
      <c r="BG949" t="s">
        <v>74</v>
      </c>
      <c r="BH949" t="s">
        <v>74</v>
      </c>
      <c r="BI949">
        <v>2</v>
      </c>
      <c r="BJ949" t="s">
        <v>1976</v>
      </c>
      <c r="BK949" t="s">
        <v>97</v>
      </c>
      <c r="BL949" t="s">
        <v>275</v>
      </c>
      <c r="BM949" t="s">
        <v>15494</v>
      </c>
      <c r="BN949" t="s">
        <v>74</v>
      </c>
      <c r="BO949" t="s">
        <v>74</v>
      </c>
      <c r="BP949" t="s">
        <v>74</v>
      </c>
      <c r="BQ949" t="s">
        <v>74</v>
      </c>
      <c r="BR949" t="s">
        <v>100</v>
      </c>
      <c r="BS949" t="s">
        <v>15495</v>
      </c>
      <c r="BT949" t="str">
        <f>HYPERLINK("https%3A%2F%2Fwww.webofscience.com%2Fwos%2Fwoscc%2Ffull-record%2FWOS:000249192100021","View Full Record in Web of Science")</f>
        <v>View Full Record in Web of Science</v>
      </c>
    </row>
    <row r="950" spans="1:72" x14ac:dyDescent="0.15">
      <c r="A950" t="s">
        <v>72</v>
      </c>
      <c r="B950" t="s">
        <v>15496</v>
      </c>
      <c r="C950" t="s">
        <v>74</v>
      </c>
      <c r="D950" t="s">
        <v>74</v>
      </c>
      <c r="E950" t="s">
        <v>74</v>
      </c>
      <c r="F950" t="s">
        <v>15497</v>
      </c>
      <c r="G950" t="s">
        <v>74</v>
      </c>
      <c r="H950" t="s">
        <v>74</v>
      </c>
      <c r="I950" t="s">
        <v>15498</v>
      </c>
      <c r="J950" t="s">
        <v>11147</v>
      </c>
      <c r="K950" t="s">
        <v>74</v>
      </c>
      <c r="L950" t="s">
        <v>74</v>
      </c>
      <c r="M950" t="s">
        <v>78</v>
      </c>
      <c r="N950" t="s">
        <v>1602</v>
      </c>
      <c r="O950" t="s">
        <v>15499</v>
      </c>
      <c r="P950">
        <v>2005</v>
      </c>
      <c r="Q950" t="s">
        <v>15500</v>
      </c>
      <c r="R950" t="s">
        <v>74</v>
      </c>
      <c r="S950" t="s">
        <v>74</v>
      </c>
      <c r="T950" t="s">
        <v>15501</v>
      </c>
      <c r="U950" t="s">
        <v>15502</v>
      </c>
      <c r="V950" t="s">
        <v>15503</v>
      </c>
      <c r="W950" t="s">
        <v>15504</v>
      </c>
      <c r="X950" t="s">
        <v>15505</v>
      </c>
      <c r="Y950" t="s">
        <v>15506</v>
      </c>
      <c r="Z950" t="s">
        <v>15507</v>
      </c>
      <c r="AA950" t="s">
        <v>15508</v>
      </c>
      <c r="AB950" t="s">
        <v>74</v>
      </c>
      <c r="AC950" t="s">
        <v>74</v>
      </c>
      <c r="AD950" t="s">
        <v>74</v>
      </c>
      <c r="AE950" t="s">
        <v>74</v>
      </c>
      <c r="AF950" t="s">
        <v>74</v>
      </c>
      <c r="AG950">
        <v>96</v>
      </c>
      <c r="AH950">
        <v>131</v>
      </c>
      <c r="AI950">
        <v>164</v>
      </c>
      <c r="AJ950">
        <v>2</v>
      </c>
      <c r="AK950">
        <v>77</v>
      </c>
      <c r="AL950" t="s">
        <v>265</v>
      </c>
      <c r="AM950" t="s">
        <v>266</v>
      </c>
      <c r="AN950" t="s">
        <v>267</v>
      </c>
      <c r="AO950" t="s">
        <v>11155</v>
      </c>
      <c r="AP950" t="s">
        <v>11156</v>
      </c>
      <c r="AQ950" t="s">
        <v>74</v>
      </c>
      <c r="AR950" t="s">
        <v>11147</v>
      </c>
      <c r="AS950" t="s">
        <v>11157</v>
      </c>
      <c r="AT950" t="s">
        <v>15509</v>
      </c>
      <c r="AU950">
        <v>2007</v>
      </c>
      <c r="AV950">
        <v>89</v>
      </c>
      <c r="AW950" t="s">
        <v>551</v>
      </c>
      <c r="AX950" t="s">
        <v>74</v>
      </c>
      <c r="AY950" t="s">
        <v>74</v>
      </c>
      <c r="AZ950" t="s">
        <v>5368</v>
      </c>
      <c r="BA950" t="s">
        <v>74</v>
      </c>
      <c r="BB950">
        <v>39</v>
      </c>
      <c r="BC950">
        <v>54</v>
      </c>
      <c r="BD950" t="s">
        <v>74</v>
      </c>
      <c r="BE950" t="s">
        <v>15510</v>
      </c>
      <c r="BF950" t="str">
        <f>HYPERLINK("http://dx.doi.org/10.1016/j.geomorph.2006.07.028","http://dx.doi.org/10.1016/j.geomorph.2006.07.028")</f>
        <v>http://dx.doi.org/10.1016/j.geomorph.2006.07.028</v>
      </c>
      <c r="BG950" t="s">
        <v>74</v>
      </c>
      <c r="BH950" t="s">
        <v>74</v>
      </c>
      <c r="BI950">
        <v>16</v>
      </c>
      <c r="BJ950" t="s">
        <v>2748</v>
      </c>
      <c r="BK950" t="s">
        <v>1616</v>
      </c>
      <c r="BL950" t="s">
        <v>2749</v>
      </c>
      <c r="BM950" t="s">
        <v>15511</v>
      </c>
      <c r="BN950" t="s">
        <v>74</v>
      </c>
      <c r="BO950" t="s">
        <v>74</v>
      </c>
      <c r="BP950" t="s">
        <v>74</v>
      </c>
      <c r="BQ950" t="s">
        <v>74</v>
      </c>
      <c r="BR950" t="s">
        <v>100</v>
      </c>
      <c r="BS950" t="s">
        <v>15512</v>
      </c>
      <c r="BT950" t="str">
        <f>HYPERLINK("https%3A%2F%2Fwww.webofscience.com%2Fwos%2Fwoscc%2Ffull-record%2FWOS:000251894900004","View Full Record in Web of Science")</f>
        <v>View Full Record in Web of Science</v>
      </c>
    </row>
    <row r="951" spans="1:72" x14ac:dyDescent="0.15">
      <c r="A951" t="s">
        <v>72</v>
      </c>
      <c r="B951" t="s">
        <v>15513</v>
      </c>
      <c r="C951" t="s">
        <v>74</v>
      </c>
      <c r="D951" t="s">
        <v>74</v>
      </c>
      <c r="E951" t="s">
        <v>74</v>
      </c>
      <c r="F951" t="s">
        <v>15514</v>
      </c>
      <c r="G951" t="s">
        <v>74</v>
      </c>
      <c r="H951" t="s">
        <v>74</v>
      </c>
      <c r="I951" t="s">
        <v>15515</v>
      </c>
      <c r="J951" t="s">
        <v>233</v>
      </c>
      <c r="K951" t="s">
        <v>74</v>
      </c>
      <c r="L951" t="s">
        <v>74</v>
      </c>
      <c r="M951" t="s">
        <v>78</v>
      </c>
      <c r="N951" t="s">
        <v>79</v>
      </c>
      <c r="O951" t="s">
        <v>74</v>
      </c>
      <c r="P951" t="s">
        <v>74</v>
      </c>
      <c r="Q951" t="s">
        <v>74</v>
      </c>
      <c r="R951" t="s">
        <v>74</v>
      </c>
      <c r="S951" t="s">
        <v>74</v>
      </c>
      <c r="T951" t="s">
        <v>74</v>
      </c>
      <c r="U951" t="s">
        <v>15516</v>
      </c>
      <c r="V951" t="s">
        <v>15517</v>
      </c>
      <c r="W951" t="s">
        <v>15518</v>
      </c>
      <c r="X951" t="s">
        <v>15519</v>
      </c>
      <c r="Y951" t="s">
        <v>15520</v>
      </c>
      <c r="Z951" t="s">
        <v>74</v>
      </c>
      <c r="AA951" t="s">
        <v>15521</v>
      </c>
      <c r="AB951" t="s">
        <v>15522</v>
      </c>
      <c r="AC951" t="s">
        <v>1636</v>
      </c>
      <c r="AD951" t="s">
        <v>444</v>
      </c>
      <c r="AE951" t="s">
        <v>74</v>
      </c>
      <c r="AF951" t="s">
        <v>74</v>
      </c>
      <c r="AG951">
        <v>16</v>
      </c>
      <c r="AH951">
        <v>12</v>
      </c>
      <c r="AI951">
        <v>12</v>
      </c>
      <c r="AJ951">
        <v>0</v>
      </c>
      <c r="AK951">
        <v>3</v>
      </c>
      <c r="AL951" t="s">
        <v>193</v>
      </c>
      <c r="AM951" t="s">
        <v>194</v>
      </c>
      <c r="AN951" t="s">
        <v>195</v>
      </c>
      <c r="AO951" t="s">
        <v>243</v>
      </c>
      <c r="AP951" t="s">
        <v>326</v>
      </c>
      <c r="AQ951" t="s">
        <v>74</v>
      </c>
      <c r="AR951" t="s">
        <v>244</v>
      </c>
      <c r="AS951" t="s">
        <v>245</v>
      </c>
      <c r="AT951" t="s">
        <v>15509</v>
      </c>
      <c r="AU951">
        <v>2007</v>
      </c>
      <c r="AV951">
        <v>34</v>
      </c>
      <c r="AW951">
        <v>17</v>
      </c>
      <c r="AX951" t="s">
        <v>74</v>
      </c>
      <c r="AY951" t="s">
        <v>74</v>
      </c>
      <c r="AZ951" t="s">
        <v>74</v>
      </c>
      <c r="BA951" t="s">
        <v>74</v>
      </c>
      <c r="BB951" t="s">
        <v>74</v>
      </c>
      <c r="BC951" t="s">
        <v>74</v>
      </c>
      <c r="BD951" t="s">
        <v>15523</v>
      </c>
      <c r="BE951" t="s">
        <v>15524</v>
      </c>
      <c r="BF951" t="str">
        <f>HYPERLINK("http://dx.doi.org/10.1029/2007GL031034","http://dx.doi.org/10.1029/2007GL031034")</f>
        <v>http://dx.doi.org/10.1029/2007GL031034</v>
      </c>
      <c r="BG951" t="s">
        <v>74</v>
      </c>
      <c r="BH951" t="s">
        <v>74</v>
      </c>
      <c r="BI951">
        <v>4</v>
      </c>
      <c r="BJ951" t="s">
        <v>96</v>
      </c>
      <c r="BK951" t="s">
        <v>97</v>
      </c>
      <c r="BL951" t="s">
        <v>98</v>
      </c>
      <c r="BM951" t="s">
        <v>15525</v>
      </c>
      <c r="BN951" t="s">
        <v>74</v>
      </c>
      <c r="BO951" t="s">
        <v>179</v>
      </c>
      <c r="BP951" t="s">
        <v>74</v>
      </c>
      <c r="BQ951" t="s">
        <v>74</v>
      </c>
      <c r="BR951" t="s">
        <v>100</v>
      </c>
      <c r="BS951" t="s">
        <v>15526</v>
      </c>
      <c r="BT951" t="str">
        <f>HYPERLINK("https%3A%2F%2Fwww.webofscience.com%2Fwos%2Fwoscc%2Ffull-record%2FWOS:000249334800006","View Full Record in Web of Science")</f>
        <v>View Full Record in Web of Science</v>
      </c>
    </row>
    <row r="952" spans="1:72" x14ac:dyDescent="0.15">
      <c r="A952" t="s">
        <v>72</v>
      </c>
      <c r="B952" t="s">
        <v>15527</v>
      </c>
      <c r="C952" t="s">
        <v>74</v>
      </c>
      <c r="D952" t="s">
        <v>74</v>
      </c>
      <c r="E952" t="s">
        <v>74</v>
      </c>
      <c r="F952" t="s">
        <v>15528</v>
      </c>
      <c r="G952" t="s">
        <v>74</v>
      </c>
      <c r="H952" t="s">
        <v>74</v>
      </c>
      <c r="I952" t="s">
        <v>15529</v>
      </c>
      <c r="J952" t="s">
        <v>15530</v>
      </c>
      <c r="K952" t="s">
        <v>74</v>
      </c>
      <c r="L952" t="s">
        <v>74</v>
      </c>
      <c r="M952" t="s">
        <v>78</v>
      </c>
      <c r="N952" t="s">
        <v>79</v>
      </c>
      <c r="O952" t="s">
        <v>74</v>
      </c>
      <c r="P952" t="s">
        <v>74</v>
      </c>
      <c r="Q952" t="s">
        <v>74</v>
      </c>
      <c r="R952" t="s">
        <v>74</v>
      </c>
      <c r="S952" t="s">
        <v>74</v>
      </c>
      <c r="T952" t="s">
        <v>15531</v>
      </c>
      <c r="U952" t="s">
        <v>15532</v>
      </c>
      <c r="V952" t="s">
        <v>15533</v>
      </c>
      <c r="W952" t="s">
        <v>15534</v>
      </c>
      <c r="X952" t="s">
        <v>15535</v>
      </c>
      <c r="Y952" t="s">
        <v>15536</v>
      </c>
      <c r="Z952" t="s">
        <v>15537</v>
      </c>
      <c r="AA952" t="s">
        <v>74</v>
      </c>
      <c r="AB952" t="s">
        <v>74</v>
      </c>
      <c r="AC952" t="s">
        <v>74</v>
      </c>
      <c r="AD952" t="s">
        <v>74</v>
      </c>
      <c r="AE952" t="s">
        <v>74</v>
      </c>
      <c r="AF952" t="s">
        <v>74</v>
      </c>
      <c r="AG952">
        <v>44</v>
      </c>
      <c r="AH952">
        <v>32</v>
      </c>
      <c r="AI952">
        <v>44</v>
      </c>
      <c r="AJ952">
        <v>1</v>
      </c>
      <c r="AK952">
        <v>14</v>
      </c>
      <c r="AL952" t="s">
        <v>15538</v>
      </c>
      <c r="AM952" t="s">
        <v>10379</v>
      </c>
      <c r="AN952" t="s">
        <v>15539</v>
      </c>
      <c r="AO952" t="s">
        <v>15540</v>
      </c>
      <c r="AP952" t="s">
        <v>15541</v>
      </c>
      <c r="AQ952" t="s">
        <v>74</v>
      </c>
      <c r="AR952" t="s">
        <v>15542</v>
      </c>
      <c r="AS952" t="s">
        <v>15543</v>
      </c>
      <c r="AT952" t="s">
        <v>15012</v>
      </c>
      <c r="AU952">
        <v>2007</v>
      </c>
      <c r="AV952">
        <v>11</v>
      </c>
      <c r="AW952">
        <v>3</v>
      </c>
      <c r="AX952" t="s">
        <v>74</v>
      </c>
      <c r="AY952" t="s">
        <v>74</v>
      </c>
      <c r="AZ952" t="s">
        <v>74</v>
      </c>
      <c r="BA952" t="s">
        <v>74</v>
      </c>
      <c r="BB952">
        <v>185</v>
      </c>
      <c r="BC952">
        <v>199</v>
      </c>
      <c r="BD952" t="s">
        <v>74</v>
      </c>
      <c r="BE952" t="s">
        <v>15544</v>
      </c>
      <c r="BF952" t="str">
        <f>HYPERLINK("http://dx.doi.org/10.1007/BF02913932","http://dx.doi.org/10.1007/BF02913932")</f>
        <v>http://dx.doi.org/10.1007/BF02913932</v>
      </c>
      <c r="BG952" t="s">
        <v>74</v>
      </c>
      <c r="BH952" t="s">
        <v>74</v>
      </c>
      <c r="BI952">
        <v>15</v>
      </c>
      <c r="BJ952" t="s">
        <v>96</v>
      </c>
      <c r="BK952" t="s">
        <v>97</v>
      </c>
      <c r="BL952" t="s">
        <v>98</v>
      </c>
      <c r="BM952" t="s">
        <v>15545</v>
      </c>
      <c r="BN952" t="s">
        <v>74</v>
      </c>
      <c r="BO952" t="s">
        <v>74</v>
      </c>
      <c r="BP952" t="s">
        <v>74</v>
      </c>
      <c r="BQ952" t="s">
        <v>74</v>
      </c>
      <c r="BR952" t="s">
        <v>100</v>
      </c>
      <c r="BS952" t="s">
        <v>15546</v>
      </c>
      <c r="BT952" t="str">
        <f>HYPERLINK("https%3A%2F%2Fwww.webofscience.com%2Fwos%2Fwoscc%2Ffull-record%2FWOS:000249909300001","View Full Record in Web of Science")</f>
        <v>View Full Record in Web of Science</v>
      </c>
    </row>
    <row r="953" spans="1:72" x14ac:dyDescent="0.15">
      <c r="A953" t="s">
        <v>72</v>
      </c>
      <c r="B953" t="s">
        <v>15547</v>
      </c>
      <c r="C953" t="s">
        <v>74</v>
      </c>
      <c r="D953" t="s">
        <v>74</v>
      </c>
      <c r="E953" t="s">
        <v>74</v>
      </c>
      <c r="F953" t="s">
        <v>15548</v>
      </c>
      <c r="G953" t="s">
        <v>74</v>
      </c>
      <c r="H953" t="s">
        <v>74</v>
      </c>
      <c r="I953" t="s">
        <v>15549</v>
      </c>
      <c r="J953" t="s">
        <v>15530</v>
      </c>
      <c r="K953" t="s">
        <v>74</v>
      </c>
      <c r="L953" t="s">
        <v>74</v>
      </c>
      <c r="M953" t="s">
        <v>78</v>
      </c>
      <c r="N953" t="s">
        <v>79</v>
      </c>
      <c r="O953" t="s">
        <v>74</v>
      </c>
      <c r="P953" t="s">
        <v>74</v>
      </c>
      <c r="Q953" t="s">
        <v>74</v>
      </c>
      <c r="R953" t="s">
        <v>74</v>
      </c>
      <c r="S953" t="s">
        <v>74</v>
      </c>
      <c r="T953" t="s">
        <v>15550</v>
      </c>
      <c r="U953" t="s">
        <v>15551</v>
      </c>
      <c r="V953" t="s">
        <v>15552</v>
      </c>
      <c r="W953" t="s">
        <v>15553</v>
      </c>
      <c r="X953" t="s">
        <v>15554</v>
      </c>
      <c r="Y953" t="s">
        <v>15555</v>
      </c>
      <c r="Z953" t="s">
        <v>15556</v>
      </c>
      <c r="AA953" t="s">
        <v>74</v>
      </c>
      <c r="AB953" t="s">
        <v>74</v>
      </c>
      <c r="AC953" t="s">
        <v>74</v>
      </c>
      <c r="AD953" t="s">
        <v>74</v>
      </c>
      <c r="AE953" t="s">
        <v>74</v>
      </c>
      <c r="AF953" t="s">
        <v>74</v>
      </c>
      <c r="AG953">
        <v>36</v>
      </c>
      <c r="AH953">
        <v>2</v>
      </c>
      <c r="AI953">
        <v>3</v>
      </c>
      <c r="AJ953">
        <v>0</v>
      </c>
      <c r="AK953">
        <v>3</v>
      </c>
      <c r="AL953" t="s">
        <v>15538</v>
      </c>
      <c r="AM953" t="s">
        <v>10379</v>
      </c>
      <c r="AN953" t="s">
        <v>15539</v>
      </c>
      <c r="AO953" t="s">
        <v>15540</v>
      </c>
      <c r="AP953" t="s">
        <v>15541</v>
      </c>
      <c r="AQ953" t="s">
        <v>74</v>
      </c>
      <c r="AR953" t="s">
        <v>15542</v>
      </c>
      <c r="AS953" t="s">
        <v>15543</v>
      </c>
      <c r="AT953" t="s">
        <v>15012</v>
      </c>
      <c r="AU953">
        <v>2007</v>
      </c>
      <c r="AV953">
        <v>11</v>
      </c>
      <c r="AW953">
        <v>3</v>
      </c>
      <c r="AX953" t="s">
        <v>74</v>
      </c>
      <c r="AY953" t="s">
        <v>74</v>
      </c>
      <c r="AZ953" t="s">
        <v>74</v>
      </c>
      <c r="BA953" t="s">
        <v>74</v>
      </c>
      <c r="BB953">
        <v>201</v>
      </c>
      <c r="BC953">
        <v>209</v>
      </c>
      <c r="BD953" t="s">
        <v>74</v>
      </c>
      <c r="BE953" t="s">
        <v>15557</v>
      </c>
      <c r="BF953" t="str">
        <f>HYPERLINK("http://dx.doi.org/10.1007/BF02913933","http://dx.doi.org/10.1007/BF02913933")</f>
        <v>http://dx.doi.org/10.1007/BF02913933</v>
      </c>
      <c r="BG953" t="s">
        <v>74</v>
      </c>
      <c r="BH953" t="s">
        <v>74</v>
      </c>
      <c r="BI953">
        <v>9</v>
      </c>
      <c r="BJ953" t="s">
        <v>96</v>
      </c>
      <c r="BK953" t="s">
        <v>97</v>
      </c>
      <c r="BL953" t="s">
        <v>98</v>
      </c>
      <c r="BM953" t="s">
        <v>15545</v>
      </c>
      <c r="BN953" t="s">
        <v>74</v>
      </c>
      <c r="BO953" t="s">
        <v>74</v>
      </c>
      <c r="BP953" t="s">
        <v>74</v>
      </c>
      <c r="BQ953" t="s">
        <v>74</v>
      </c>
      <c r="BR953" t="s">
        <v>100</v>
      </c>
      <c r="BS953" t="s">
        <v>15558</v>
      </c>
      <c r="BT953" t="str">
        <f>HYPERLINK("https%3A%2F%2Fwww.webofscience.com%2Fwos%2Fwoscc%2Ffull-record%2FWOS:000249909300002","View Full Record in Web of Science")</f>
        <v>View Full Record in Web of Science</v>
      </c>
    </row>
    <row r="954" spans="1:72" x14ac:dyDescent="0.15">
      <c r="A954" t="s">
        <v>72</v>
      </c>
      <c r="B954" t="s">
        <v>15559</v>
      </c>
      <c r="C954" t="s">
        <v>74</v>
      </c>
      <c r="D954" t="s">
        <v>74</v>
      </c>
      <c r="E954" t="s">
        <v>74</v>
      </c>
      <c r="F954" t="s">
        <v>15560</v>
      </c>
      <c r="G954" t="s">
        <v>74</v>
      </c>
      <c r="H954" t="s">
        <v>74</v>
      </c>
      <c r="I954" t="s">
        <v>15561</v>
      </c>
      <c r="J954" t="s">
        <v>15562</v>
      </c>
      <c r="K954" t="s">
        <v>74</v>
      </c>
      <c r="L954" t="s">
        <v>74</v>
      </c>
      <c r="M954" t="s">
        <v>78</v>
      </c>
      <c r="N954" t="s">
        <v>79</v>
      </c>
      <c r="O954" t="s">
        <v>74</v>
      </c>
      <c r="P954" t="s">
        <v>74</v>
      </c>
      <c r="Q954" t="s">
        <v>74</v>
      </c>
      <c r="R954" t="s">
        <v>74</v>
      </c>
      <c r="S954" t="s">
        <v>74</v>
      </c>
      <c r="T954" t="s">
        <v>74</v>
      </c>
      <c r="U954" t="s">
        <v>15563</v>
      </c>
      <c r="V954" t="s">
        <v>15564</v>
      </c>
      <c r="W954" t="s">
        <v>15565</v>
      </c>
      <c r="X954" t="s">
        <v>15566</v>
      </c>
      <c r="Y954" t="s">
        <v>15567</v>
      </c>
      <c r="Z954" t="s">
        <v>13507</v>
      </c>
      <c r="AA954" t="s">
        <v>74</v>
      </c>
      <c r="AB954" t="s">
        <v>74</v>
      </c>
      <c r="AC954" t="s">
        <v>74</v>
      </c>
      <c r="AD954" t="s">
        <v>74</v>
      </c>
      <c r="AE954" t="s">
        <v>74</v>
      </c>
      <c r="AF954" t="s">
        <v>74</v>
      </c>
      <c r="AG954">
        <v>20</v>
      </c>
      <c r="AH954">
        <v>7</v>
      </c>
      <c r="AI954">
        <v>10</v>
      </c>
      <c r="AJ954">
        <v>0</v>
      </c>
      <c r="AK954">
        <v>5</v>
      </c>
      <c r="AL954" t="s">
        <v>15376</v>
      </c>
      <c r="AM954" t="s">
        <v>7992</v>
      </c>
      <c r="AN954" t="s">
        <v>15568</v>
      </c>
      <c r="AO954" t="s">
        <v>15569</v>
      </c>
      <c r="AP954" t="s">
        <v>15570</v>
      </c>
      <c r="AQ954" t="s">
        <v>74</v>
      </c>
      <c r="AR954" t="s">
        <v>15571</v>
      </c>
      <c r="AS954" t="s">
        <v>15572</v>
      </c>
      <c r="AT954" t="s">
        <v>15012</v>
      </c>
      <c r="AU954">
        <v>2007</v>
      </c>
      <c r="AV954">
        <v>41</v>
      </c>
      <c r="AW954">
        <v>5</v>
      </c>
      <c r="AX954" t="s">
        <v>74</v>
      </c>
      <c r="AY954" t="s">
        <v>74</v>
      </c>
      <c r="AZ954" t="s">
        <v>74</v>
      </c>
      <c r="BA954" t="s">
        <v>74</v>
      </c>
      <c r="BB954">
        <v>355</v>
      </c>
      <c r="BC954">
        <v>367</v>
      </c>
      <c r="BD954" t="s">
        <v>74</v>
      </c>
      <c r="BE954" t="s">
        <v>15573</v>
      </c>
      <c r="BF954" t="str">
        <f>HYPERLINK("http://dx.doi.org/10.1134/S0016852107050020","http://dx.doi.org/10.1134/S0016852107050020")</f>
        <v>http://dx.doi.org/10.1134/S0016852107050020</v>
      </c>
      <c r="BG954" t="s">
        <v>74</v>
      </c>
      <c r="BH954" t="s">
        <v>74</v>
      </c>
      <c r="BI954">
        <v>13</v>
      </c>
      <c r="BJ954" t="s">
        <v>553</v>
      </c>
      <c r="BK954" t="s">
        <v>97</v>
      </c>
      <c r="BL954" t="s">
        <v>553</v>
      </c>
      <c r="BM954" t="s">
        <v>15574</v>
      </c>
      <c r="BN954" t="s">
        <v>74</v>
      </c>
      <c r="BO954" t="s">
        <v>74</v>
      </c>
      <c r="BP954" t="s">
        <v>74</v>
      </c>
      <c r="BQ954" t="s">
        <v>74</v>
      </c>
      <c r="BR954" t="s">
        <v>100</v>
      </c>
      <c r="BS954" t="s">
        <v>15575</v>
      </c>
      <c r="BT954" t="str">
        <f>HYPERLINK("https%3A%2F%2Fwww.webofscience.com%2Fwos%2Fwoscc%2Ffull-record%2FWOS:000250235700002","View Full Record in Web of Science")</f>
        <v>View Full Record in Web of Science</v>
      </c>
    </row>
    <row r="955" spans="1:72" x14ac:dyDescent="0.15">
      <c r="A955" t="s">
        <v>72</v>
      </c>
      <c r="B955" t="s">
        <v>15576</v>
      </c>
      <c r="C955" t="s">
        <v>74</v>
      </c>
      <c r="D955" t="s">
        <v>74</v>
      </c>
      <c r="E955" t="s">
        <v>74</v>
      </c>
      <c r="F955" t="s">
        <v>15577</v>
      </c>
      <c r="G955" t="s">
        <v>74</v>
      </c>
      <c r="H955" t="s">
        <v>74</v>
      </c>
      <c r="I955" t="s">
        <v>15578</v>
      </c>
      <c r="J955" t="s">
        <v>15579</v>
      </c>
      <c r="K955" t="s">
        <v>74</v>
      </c>
      <c r="L955" t="s">
        <v>74</v>
      </c>
      <c r="M955" t="s">
        <v>78</v>
      </c>
      <c r="N955" t="s">
        <v>79</v>
      </c>
      <c r="O955" t="s">
        <v>74</v>
      </c>
      <c r="P955" t="s">
        <v>74</v>
      </c>
      <c r="Q955" t="s">
        <v>74</v>
      </c>
      <c r="R955" t="s">
        <v>74</v>
      </c>
      <c r="S955" t="s">
        <v>74</v>
      </c>
      <c r="T955" t="s">
        <v>15580</v>
      </c>
      <c r="U955" t="s">
        <v>15581</v>
      </c>
      <c r="V955" t="s">
        <v>15582</v>
      </c>
      <c r="W955" t="s">
        <v>15583</v>
      </c>
      <c r="X955" t="s">
        <v>15584</v>
      </c>
      <c r="Y955" t="s">
        <v>15585</v>
      </c>
      <c r="Z955" t="s">
        <v>74</v>
      </c>
      <c r="AA955" t="s">
        <v>15586</v>
      </c>
      <c r="AB955" t="s">
        <v>74</v>
      </c>
      <c r="AC955" t="s">
        <v>74</v>
      </c>
      <c r="AD955" t="s">
        <v>74</v>
      </c>
      <c r="AE955" t="s">
        <v>74</v>
      </c>
      <c r="AF955" t="s">
        <v>74</v>
      </c>
      <c r="AG955">
        <v>28</v>
      </c>
      <c r="AH955">
        <v>42</v>
      </c>
      <c r="AI955">
        <v>49</v>
      </c>
      <c r="AJ955">
        <v>0</v>
      </c>
      <c r="AK955">
        <v>6</v>
      </c>
      <c r="AL955" t="s">
        <v>15587</v>
      </c>
      <c r="AM955" t="s">
        <v>15588</v>
      </c>
      <c r="AN955" t="s">
        <v>15589</v>
      </c>
      <c r="AO955" t="s">
        <v>15590</v>
      </c>
      <c r="AP955" t="s">
        <v>15591</v>
      </c>
      <c r="AQ955" t="s">
        <v>74</v>
      </c>
      <c r="AR955" t="s">
        <v>15592</v>
      </c>
      <c r="AS955" t="s">
        <v>15593</v>
      </c>
      <c r="AT955" t="s">
        <v>15012</v>
      </c>
      <c r="AU955">
        <v>2007</v>
      </c>
      <c r="AV955">
        <v>45</v>
      </c>
      <c r="AW955">
        <v>9</v>
      </c>
      <c r="AX955" t="s">
        <v>74</v>
      </c>
      <c r="AY955" t="s">
        <v>74</v>
      </c>
      <c r="AZ955" t="s">
        <v>74</v>
      </c>
      <c r="BA955" t="s">
        <v>74</v>
      </c>
      <c r="BB955">
        <v>2715</v>
      </c>
      <c r="BC955">
        <v>2724</v>
      </c>
      <c r="BD955" t="s">
        <v>74</v>
      </c>
      <c r="BE955" t="s">
        <v>15594</v>
      </c>
      <c r="BF955" t="str">
        <f>HYPERLINK("http://dx.doi.org/10.1109/TGRS.2007.900673","http://dx.doi.org/10.1109/TGRS.2007.900673")</f>
        <v>http://dx.doi.org/10.1109/TGRS.2007.900673</v>
      </c>
      <c r="BG955" t="s">
        <v>74</v>
      </c>
      <c r="BH955" t="s">
        <v>74</v>
      </c>
      <c r="BI955">
        <v>10</v>
      </c>
      <c r="BJ955" t="s">
        <v>15595</v>
      </c>
      <c r="BK955" t="s">
        <v>97</v>
      </c>
      <c r="BL955" t="s">
        <v>15596</v>
      </c>
      <c r="BM955" t="s">
        <v>15597</v>
      </c>
      <c r="BN955" t="s">
        <v>74</v>
      </c>
      <c r="BO955" t="s">
        <v>74</v>
      </c>
      <c r="BP955" t="s">
        <v>74</v>
      </c>
      <c r="BQ955" t="s">
        <v>74</v>
      </c>
      <c r="BR955" t="s">
        <v>100</v>
      </c>
      <c r="BS955" t="s">
        <v>15598</v>
      </c>
      <c r="BT955" t="str">
        <f>HYPERLINK("https%3A%2F%2Fwww.webofscience.com%2Fwos%2Fwoscc%2Ffull-record%2FWOS:000249105400003","View Full Record in Web of Science")</f>
        <v>View Full Record in Web of Science</v>
      </c>
    </row>
    <row r="956" spans="1:72" x14ac:dyDescent="0.15">
      <c r="A956" t="s">
        <v>72</v>
      </c>
      <c r="B956" t="s">
        <v>15599</v>
      </c>
      <c r="C956" t="s">
        <v>74</v>
      </c>
      <c r="D956" t="s">
        <v>74</v>
      </c>
      <c r="E956" t="s">
        <v>74</v>
      </c>
      <c r="F956" t="s">
        <v>15600</v>
      </c>
      <c r="G956" t="s">
        <v>74</v>
      </c>
      <c r="H956" t="s">
        <v>74</v>
      </c>
      <c r="I956" t="s">
        <v>15601</v>
      </c>
      <c r="J956" t="s">
        <v>15602</v>
      </c>
      <c r="K956" t="s">
        <v>74</v>
      </c>
      <c r="L956" t="s">
        <v>74</v>
      </c>
      <c r="M956" t="s">
        <v>78</v>
      </c>
      <c r="N956" t="s">
        <v>1602</v>
      </c>
      <c r="O956" t="s">
        <v>15603</v>
      </c>
      <c r="P956" t="s">
        <v>15604</v>
      </c>
      <c r="Q956" t="s">
        <v>15605</v>
      </c>
      <c r="R956" t="s">
        <v>74</v>
      </c>
      <c r="S956" t="s">
        <v>74</v>
      </c>
      <c r="T956" t="s">
        <v>15606</v>
      </c>
      <c r="U956" t="s">
        <v>74</v>
      </c>
      <c r="V956" t="s">
        <v>15607</v>
      </c>
      <c r="W956" t="s">
        <v>15608</v>
      </c>
      <c r="X956" t="s">
        <v>3094</v>
      </c>
      <c r="Y956" t="s">
        <v>15609</v>
      </c>
      <c r="Z956" t="s">
        <v>74</v>
      </c>
      <c r="AA956" t="s">
        <v>74</v>
      </c>
      <c r="AB956" t="s">
        <v>74</v>
      </c>
      <c r="AC956" t="s">
        <v>74</v>
      </c>
      <c r="AD956" t="s">
        <v>74</v>
      </c>
      <c r="AE956" t="s">
        <v>74</v>
      </c>
      <c r="AF956" t="s">
        <v>74</v>
      </c>
      <c r="AG956">
        <v>18</v>
      </c>
      <c r="AH956">
        <v>1</v>
      </c>
      <c r="AI956">
        <v>1</v>
      </c>
      <c r="AJ956">
        <v>0</v>
      </c>
      <c r="AK956">
        <v>2</v>
      </c>
      <c r="AL956" t="s">
        <v>15610</v>
      </c>
      <c r="AM956" t="s">
        <v>7704</v>
      </c>
      <c r="AN956" t="s">
        <v>7705</v>
      </c>
      <c r="AO956" t="s">
        <v>15611</v>
      </c>
      <c r="AP956" t="s">
        <v>74</v>
      </c>
      <c r="AQ956" t="s">
        <v>74</v>
      </c>
      <c r="AR956" t="s">
        <v>15612</v>
      </c>
      <c r="AS956" t="s">
        <v>15613</v>
      </c>
      <c r="AT956" t="s">
        <v>15012</v>
      </c>
      <c r="AU956">
        <v>2007</v>
      </c>
      <c r="AV956">
        <v>17</v>
      </c>
      <c r="AW956">
        <v>3</v>
      </c>
      <c r="AX956" t="s">
        <v>74</v>
      </c>
      <c r="AY956" t="s">
        <v>74</v>
      </c>
      <c r="AZ956" t="s">
        <v>74</v>
      </c>
      <c r="BA956" t="s">
        <v>74</v>
      </c>
      <c r="BB956">
        <v>161</v>
      </c>
      <c r="BC956">
        <v>168</v>
      </c>
      <c r="BD956" t="s">
        <v>74</v>
      </c>
      <c r="BE956" t="s">
        <v>74</v>
      </c>
      <c r="BF956" t="s">
        <v>74</v>
      </c>
      <c r="BG956" t="s">
        <v>74</v>
      </c>
      <c r="BH956" t="s">
        <v>74</v>
      </c>
      <c r="BI956">
        <v>8</v>
      </c>
      <c r="BJ956" t="s">
        <v>15614</v>
      </c>
      <c r="BK956" t="s">
        <v>8389</v>
      </c>
      <c r="BL956" t="s">
        <v>890</v>
      </c>
      <c r="BM956" t="s">
        <v>15615</v>
      </c>
      <c r="BN956" t="s">
        <v>74</v>
      </c>
      <c r="BO956" t="s">
        <v>74</v>
      </c>
      <c r="BP956" t="s">
        <v>74</v>
      </c>
      <c r="BQ956" t="s">
        <v>74</v>
      </c>
      <c r="BR956" t="s">
        <v>100</v>
      </c>
      <c r="BS956" t="s">
        <v>15616</v>
      </c>
      <c r="BT956" t="str">
        <f>HYPERLINK("https%3A%2F%2Fwww.webofscience.com%2Fwos%2Fwoscc%2Ffull-record%2FWOS:000249460500001","View Full Record in Web of Science")</f>
        <v>View Full Record in Web of Science</v>
      </c>
    </row>
    <row r="957" spans="1:72" x14ac:dyDescent="0.15">
      <c r="A957" t="s">
        <v>72</v>
      </c>
      <c r="B957" t="s">
        <v>15617</v>
      </c>
      <c r="C957" t="s">
        <v>74</v>
      </c>
      <c r="D957" t="s">
        <v>74</v>
      </c>
      <c r="E957" t="s">
        <v>74</v>
      </c>
      <c r="F957" t="s">
        <v>15618</v>
      </c>
      <c r="G957" t="s">
        <v>74</v>
      </c>
      <c r="H957" t="s">
        <v>74</v>
      </c>
      <c r="I957" t="s">
        <v>15619</v>
      </c>
      <c r="J957" t="s">
        <v>15602</v>
      </c>
      <c r="K957" t="s">
        <v>74</v>
      </c>
      <c r="L957" t="s">
        <v>74</v>
      </c>
      <c r="M957" t="s">
        <v>78</v>
      </c>
      <c r="N957" t="s">
        <v>1602</v>
      </c>
      <c r="O957" t="s">
        <v>15603</v>
      </c>
      <c r="P957" t="s">
        <v>15604</v>
      </c>
      <c r="Q957" t="s">
        <v>15605</v>
      </c>
      <c r="R957" t="s">
        <v>74</v>
      </c>
      <c r="S957" t="s">
        <v>74</v>
      </c>
      <c r="T957" t="s">
        <v>15620</v>
      </c>
      <c r="U957" t="s">
        <v>74</v>
      </c>
      <c r="V957" t="s">
        <v>15621</v>
      </c>
      <c r="W957" t="s">
        <v>14101</v>
      </c>
      <c r="X957" t="s">
        <v>3094</v>
      </c>
      <c r="Y957" t="s">
        <v>15622</v>
      </c>
      <c r="Z957" t="s">
        <v>74</v>
      </c>
      <c r="AA957" t="s">
        <v>15623</v>
      </c>
      <c r="AB957" t="s">
        <v>15624</v>
      </c>
      <c r="AC957" t="s">
        <v>74</v>
      </c>
      <c r="AD957" t="s">
        <v>74</v>
      </c>
      <c r="AE957" t="s">
        <v>74</v>
      </c>
      <c r="AF957" t="s">
        <v>74</v>
      </c>
      <c r="AG957">
        <v>15</v>
      </c>
      <c r="AH957">
        <v>2</v>
      </c>
      <c r="AI957">
        <v>2</v>
      </c>
      <c r="AJ957">
        <v>0</v>
      </c>
      <c r="AK957">
        <v>6</v>
      </c>
      <c r="AL957" t="s">
        <v>15610</v>
      </c>
      <c r="AM957" t="s">
        <v>7704</v>
      </c>
      <c r="AN957" t="s">
        <v>7705</v>
      </c>
      <c r="AO957" t="s">
        <v>15611</v>
      </c>
      <c r="AP957" t="s">
        <v>74</v>
      </c>
      <c r="AQ957" t="s">
        <v>74</v>
      </c>
      <c r="AR957" t="s">
        <v>15612</v>
      </c>
      <c r="AS957" t="s">
        <v>15613</v>
      </c>
      <c r="AT957" t="s">
        <v>15012</v>
      </c>
      <c r="AU957">
        <v>2007</v>
      </c>
      <c r="AV957">
        <v>17</v>
      </c>
      <c r="AW957">
        <v>3</v>
      </c>
      <c r="AX957" t="s">
        <v>74</v>
      </c>
      <c r="AY957" t="s">
        <v>74</v>
      </c>
      <c r="AZ957" t="s">
        <v>74</v>
      </c>
      <c r="BA957" t="s">
        <v>74</v>
      </c>
      <c r="BB957">
        <v>169</v>
      </c>
      <c r="BC957">
        <v>175</v>
      </c>
      <c r="BD957" t="s">
        <v>74</v>
      </c>
      <c r="BE957" t="s">
        <v>74</v>
      </c>
      <c r="BF957" t="s">
        <v>74</v>
      </c>
      <c r="BG957" t="s">
        <v>74</v>
      </c>
      <c r="BH957" t="s">
        <v>74</v>
      </c>
      <c r="BI957">
        <v>7</v>
      </c>
      <c r="BJ957" t="s">
        <v>15614</v>
      </c>
      <c r="BK957" t="s">
        <v>8389</v>
      </c>
      <c r="BL957" t="s">
        <v>890</v>
      </c>
      <c r="BM957" t="s">
        <v>15615</v>
      </c>
      <c r="BN957" t="s">
        <v>74</v>
      </c>
      <c r="BO957" t="s">
        <v>74</v>
      </c>
      <c r="BP957" t="s">
        <v>74</v>
      </c>
      <c r="BQ957" t="s">
        <v>74</v>
      </c>
      <c r="BR957" t="s">
        <v>100</v>
      </c>
      <c r="BS957" t="s">
        <v>15625</v>
      </c>
      <c r="BT957" t="str">
        <f>HYPERLINK("https%3A%2F%2Fwww.webofscience.com%2Fwos%2Fwoscc%2Ffull-record%2FWOS:000249460500002","View Full Record in Web of Science")</f>
        <v>View Full Record in Web of Science</v>
      </c>
    </row>
    <row r="958" spans="1:72" x14ac:dyDescent="0.15">
      <c r="A958" t="s">
        <v>72</v>
      </c>
      <c r="B958" t="s">
        <v>15626</v>
      </c>
      <c r="C958" t="s">
        <v>74</v>
      </c>
      <c r="D958" t="s">
        <v>74</v>
      </c>
      <c r="E958" t="s">
        <v>74</v>
      </c>
      <c r="F958" t="s">
        <v>15627</v>
      </c>
      <c r="G958" t="s">
        <v>74</v>
      </c>
      <c r="H958" t="s">
        <v>74</v>
      </c>
      <c r="I958" t="s">
        <v>15628</v>
      </c>
      <c r="J958" t="s">
        <v>15629</v>
      </c>
      <c r="K958" t="s">
        <v>74</v>
      </c>
      <c r="L958" t="s">
        <v>74</v>
      </c>
      <c r="M958" t="s">
        <v>78</v>
      </c>
      <c r="N958" t="s">
        <v>106</v>
      </c>
      <c r="O958" t="s">
        <v>74</v>
      </c>
      <c r="P958" t="s">
        <v>74</v>
      </c>
      <c r="Q958" t="s">
        <v>74</v>
      </c>
      <c r="R958" t="s">
        <v>74</v>
      </c>
      <c r="S958" t="s">
        <v>74</v>
      </c>
      <c r="T958" t="s">
        <v>15630</v>
      </c>
      <c r="U958" t="s">
        <v>15631</v>
      </c>
      <c r="V958" t="s">
        <v>15632</v>
      </c>
      <c r="W958" t="s">
        <v>15633</v>
      </c>
      <c r="X958" t="s">
        <v>15634</v>
      </c>
      <c r="Y958" t="s">
        <v>15635</v>
      </c>
      <c r="Z958" t="s">
        <v>15636</v>
      </c>
      <c r="AA958" t="s">
        <v>74</v>
      </c>
      <c r="AB958" t="s">
        <v>15637</v>
      </c>
      <c r="AC958" t="s">
        <v>74</v>
      </c>
      <c r="AD958" t="s">
        <v>74</v>
      </c>
      <c r="AE958" t="s">
        <v>74</v>
      </c>
      <c r="AF958" t="s">
        <v>74</v>
      </c>
      <c r="AG958">
        <v>102</v>
      </c>
      <c r="AH958">
        <v>21</v>
      </c>
      <c r="AI958">
        <v>22</v>
      </c>
      <c r="AJ958">
        <v>0</v>
      </c>
      <c r="AK958">
        <v>13</v>
      </c>
      <c r="AL958" t="s">
        <v>15638</v>
      </c>
      <c r="AM958" t="s">
        <v>15639</v>
      </c>
      <c r="AN958" t="s">
        <v>15640</v>
      </c>
      <c r="AO958" t="s">
        <v>15641</v>
      </c>
      <c r="AP958" t="s">
        <v>15642</v>
      </c>
      <c r="AQ958" t="s">
        <v>74</v>
      </c>
      <c r="AR958" t="s">
        <v>15643</v>
      </c>
      <c r="AS958" t="s">
        <v>15644</v>
      </c>
      <c r="AT958" t="s">
        <v>15012</v>
      </c>
      <c r="AU958">
        <v>2007</v>
      </c>
      <c r="AV958">
        <v>168</v>
      </c>
      <c r="AW958">
        <v>7</v>
      </c>
      <c r="AX958" t="s">
        <v>74</v>
      </c>
      <c r="AY958" t="s">
        <v>74</v>
      </c>
      <c r="AZ958" t="s">
        <v>74</v>
      </c>
      <c r="BA958" t="s">
        <v>74</v>
      </c>
      <c r="BB958">
        <v>1099</v>
      </c>
      <c r="BC958">
        <v>1112</v>
      </c>
      <c r="BD958" t="s">
        <v>74</v>
      </c>
      <c r="BE958" t="s">
        <v>15645</v>
      </c>
      <c r="BF958" t="str">
        <f>HYPERLINK("http://dx.doi.org/10.1086/518840","http://dx.doi.org/10.1086/518840")</f>
        <v>http://dx.doi.org/10.1086/518840</v>
      </c>
      <c r="BG958" t="s">
        <v>74</v>
      </c>
      <c r="BH958" t="s">
        <v>74</v>
      </c>
      <c r="BI958">
        <v>14</v>
      </c>
      <c r="BJ958" t="s">
        <v>6860</v>
      </c>
      <c r="BK958" t="s">
        <v>97</v>
      </c>
      <c r="BL958" t="s">
        <v>6860</v>
      </c>
      <c r="BM958" t="s">
        <v>15646</v>
      </c>
      <c r="BN958" t="s">
        <v>74</v>
      </c>
      <c r="BO958" t="s">
        <v>3777</v>
      </c>
      <c r="BP958" t="s">
        <v>74</v>
      </c>
      <c r="BQ958" t="s">
        <v>74</v>
      </c>
      <c r="BR958" t="s">
        <v>100</v>
      </c>
      <c r="BS958" t="s">
        <v>15647</v>
      </c>
      <c r="BT958" t="str">
        <f>HYPERLINK("https%3A%2F%2Fwww.webofscience.com%2Fwos%2Fwoscc%2Ffull-record%2FWOS:000249073400012","View Full Record in Web of Science")</f>
        <v>View Full Record in Web of Science</v>
      </c>
    </row>
    <row r="959" spans="1:72" x14ac:dyDescent="0.15">
      <c r="A959" t="s">
        <v>72</v>
      </c>
      <c r="B959" t="s">
        <v>15648</v>
      </c>
      <c r="C959" t="s">
        <v>74</v>
      </c>
      <c r="D959" t="s">
        <v>74</v>
      </c>
      <c r="E959" t="s">
        <v>74</v>
      </c>
      <c r="F959" t="s">
        <v>15649</v>
      </c>
      <c r="G959" t="s">
        <v>74</v>
      </c>
      <c r="H959" t="s">
        <v>74</v>
      </c>
      <c r="I959" t="s">
        <v>15650</v>
      </c>
      <c r="J959" t="s">
        <v>15651</v>
      </c>
      <c r="K959" t="s">
        <v>74</v>
      </c>
      <c r="L959" t="s">
        <v>74</v>
      </c>
      <c r="M959" t="s">
        <v>78</v>
      </c>
      <c r="N959" t="s">
        <v>52</v>
      </c>
      <c r="O959" t="s">
        <v>15652</v>
      </c>
      <c r="P959" t="s">
        <v>15653</v>
      </c>
      <c r="Q959" t="s">
        <v>15654</v>
      </c>
      <c r="R959" t="s">
        <v>74</v>
      </c>
      <c r="S959" t="s">
        <v>74</v>
      </c>
      <c r="T959" t="s">
        <v>74</v>
      </c>
      <c r="U959" t="s">
        <v>74</v>
      </c>
      <c r="V959" t="s">
        <v>74</v>
      </c>
      <c r="W959" t="s">
        <v>15655</v>
      </c>
      <c r="X959" t="s">
        <v>11546</v>
      </c>
      <c r="Y959" t="s">
        <v>74</v>
      </c>
      <c r="Z959" t="s">
        <v>15656</v>
      </c>
      <c r="AA959" t="s">
        <v>74</v>
      </c>
      <c r="AB959" t="s">
        <v>74</v>
      </c>
      <c r="AC959" t="s">
        <v>74</v>
      </c>
      <c r="AD959" t="s">
        <v>74</v>
      </c>
      <c r="AE959" t="s">
        <v>74</v>
      </c>
      <c r="AF959" t="s">
        <v>74</v>
      </c>
      <c r="AG959">
        <v>0</v>
      </c>
      <c r="AH959">
        <v>3</v>
      </c>
      <c r="AI959">
        <v>3</v>
      </c>
      <c r="AJ959">
        <v>0</v>
      </c>
      <c r="AK959">
        <v>16</v>
      </c>
      <c r="AL959" t="s">
        <v>506</v>
      </c>
      <c r="AM959" t="s">
        <v>266</v>
      </c>
      <c r="AN959" t="s">
        <v>507</v>
      </c>
      <c r="AO959" t="s">
        <v>15657</v>
      </c>
      <c r="AP959" t="s">
        <v>15658</v>
      </c>
      <c r="AQ959" t="s">
        <v>74</v>
      </c>
      <c r="AR959" t="s">
        <v>15659</v>
      </c>
      <c r="AS959" t="s">
        <v>15660</v>
      </c>
      <c r="AT959" t="s">
        <v>15012</v>
      </c>
      <c r="AU959">
        <v>2007</v>
      </c>
      <c r="AV959">
        <v>131</v>
      </c>
      <c r="AW959">
        <v>2</v>
      </c>
      <c r="AX959" t="s">
        <v>74</v>
      </c>
      <c r="AY959" t="s">
        <v>1199</v>
      </c>
      <c r="AZ959" t="s">
        <v>74</v>
      </c>
      <c r="BA959" t="s">
        <v>74</v>
      </c>
      <c r="BB959" t="s">
        <v>15661</v>
      </c>
      <c r="BC959" t="s">
        <v>15662</v>
      </c>
      <c r="BD959" t="s">
        <v>74</v>
      </c>
      <c r="BE959" t="s">
        <v>15663</v>
      </c>
      <c r="BF959" t="str">
        <f>HYPERLINK("http://dx.doi.org/10.1016/j.jbiotec.2007.07.154","http://dx.doi.org/10.1016/j.jbiotec.2007.07.154")</f>
        <v>http://dx.doi.org/10.1016/j.jbiotec.2007.07.154</v>
      </c>
      <c r="BG959" t="s">
        <v>74</v>
      </c>
      <c r="BH959" t="s">
        <v>74</v>
      </c>
      <c r="BI959">
        <v>2</v>
      </c>
      <c r="BJ959" t="s">
        <v>2706</v>
      </c>
      <c r="BK959" t="s">
        <v>1616</v>
      </c>
      <c r="BL959" t="s">
        <v>2706</v>
      </c>
      <c r="BM959" t="s">
        <v>15664</v>
      </c>
      <c r="BN959" t="s">
        <v>74</v>
      </c>
      <c r="BO959" t="s">
        <v>74</v>
      </c>
      <c r="BP959" t="s">
        <v>74</v>
      </c>
      <c r="BQ959" t="s">
        <v>74</v>
      </c>
      <c r="BR959" t="s">
        <v>100</v>
      </c>
      <c r="BS959" t="s">
        <v>15665</v>
      </c>
      <c r="BT959" t="str">
        <f>HYPERLINK("https%3A%2F%2Fwww.webofscience.com%2Fwos%2Fwoscc%2Ffull-record%2FWOS:000249687100143","View Full Record in Web of Science")</f>
        <v>View Full Record in Web of Science</v>
      </c>
    </row>
    <row r="960" spans="1:72" x14ac:dyDescent="0.15">
      <c r="A960" t="s">
        <v>72</v>
      </c>
      <c r="B960" t="s">
        <v>15666</v>
      </c>
      <c r="C960" t="s">
        <v>74</v>
      </c>
      <c r="D960" t="s">
        <v>74</v>
      </c>
      <c r="E960" t="s">
        <v>74</v>
      </c>
      <c r="F960" t="s">
        <v>15667</v>
      </c>
      <c r="G960" t="s">
        <v>74</v>
      </c>
      <c r="H960" t="s">
        <v>74</v>
      </c>
      <c r="I960" t="s">
        <v>15668</v>
      </c>
      <c r="J960" t="s">
        <v>15669</v>
      </c>
      <c r="K960" t="s">
        <v>74</v>
      </c>
      <c r="L960" t="s">
        <v>74</v>
      </c>
      <c r="M960" t="s">
        <v>78</v>
      </c>
      <c r="N960" t="s">
        <v>79</v>
      </c>
      <c r="O960" t="s">
        <v>74</v>
      </c>
      <c r="P960" t="s">
        <v>74</v>
      </c>
      <c r="Q960" t="s">
        <v>74</v>
      </c>
      <c r="R960" t="s">
        <v>74</v>
      </c>
      <c r="S960" t="s">
        <v>74</v>
      </c>
      <c r="T960" t="s">
        <v>15670</v>
      </c>
      <c r="U960" t="s">
        <v>15671</v>
      </c>
      <c r="V960" t="s">
        <v>15672</v>
      </c>
      <c r="W960" t="s">
        <v>15673</v>
      </c>
      <c r="X960" t="s">
        <v>15674</v>
      </c>
      <c r="Y960" t="s">
        <v>15675</v>
      </c>
      <c r="Z960" t="s">
        <v>15676</v>
      </c>
      <c r="AA960" t="s">
        <v>15677</v>
      </c>
      <c r="AB960" t="s">
        <v>15678</v>
      </c>
      <c r="AC960" t="s">
        <v>74</v>
      </c>
      <c r="AD960" t="s">
        <v>74</v>
      </c>
      <c r="AE960" t="s">
        <v>74</v>
      </c>
      <c r="AF960" t="s">
        <v>74</v>
      </c>
      <c r="AG960">
        <v>32</v>
      </c>
      <c r="AH960">
        <v>77</v>
      </c>
      <c r="AI960">
        <v>87</v>
      </c>
      <c r="AJ960">
        <v>0</v>
      </c>
      <c r="AK960">
        <v>42</v>
      </c>
      <c r="AL960" t="s">
        <v>1265</v>
      </c>
      <c r="AM960" t="s">
        <v>1317</v>
      </c>
      <c r="AN960" t="s">
        <v>2701</v>
      </c>
      <c r="AO960" t="s">
        <v>15679</v>
      </c>
      <c r="AP960" t="s">
        <v>15680</v>
      </c>
      <c r="AQ960" t="s">
        <v>74</v>
      </c>
      <c r="AR960" t="s">
        <v>15681</v>
      </c>
      <c r="AS960" t="s">
        <v>15682</v>
      </c>
      <c r="AT960" t="s">
        <v>15012</v>
      </c>
      <c r="AU960">
        <v>2007</v>
      </c>
      <c r="AV960">
        <v>33</v>
      </c>
      <c r="AW960">
        <v>9</v>
      </c>
      <c r="AX960" t="s">
        <v>74</v>
      </c>
      <c r="AY960" t="s">
        <v>74</v>
      </c>
      <c r="AZ960" t="s">
        <v>74</v>
      </c>
      <c r="BA960" t="s">
        <v>74</v>
      </c>
      <c r="BB960">
        <v>1819</v>
      </c>
      <c r="BC960">
        <v>1829</v>
      </c>
      <c r="BD960" t="s">
        <v>74</v>
      </c>
      <c r="BE960" t="s">
        <v>15683</v>
      </c>
      <c r="BF960" t="str">
        <f>HYPERLINK("http://dx.doi.org/10.1007/s10886-007-9345-7","http://dx.doi.org/10.1007/s10886-007-9345-7")</f>
        <v>http://dx.doi.org/10.1007/s10886-007-9345-7</v>
      </c>
      <c r="BG960" t="s">
        <v>74</v>
      </c>
      <c r="BH960" t="s">
        <v>74</v>
      </c>
      <c r="BI960">
        <v>11</v>
      </c>
      <c r="BJ960" t="s">
        <v>15684</v>
      </c>
      <c r="BK960" t="s">
        <v>97</v>
      </c>
      <c r="BL960" t="s">
        <v>15685</v>
      </c>
      <c r="BM960" t="s">
        <v>15686</v>
      </c>
      <c r="BN960">
        <v>17710497</v>
      </c>
      <c r="BO960" t="s">
        <v>74</v>
      </c>
      <c r="BP960" t="s">
        <v>74</v>
      </c>
      <c r="BQ960" t="s">
        <v>74</v>
      </c>
      <c r="BR960" t="s">
        <v>100</v>
      </c>
      <c r="BS960" t="s">
        <v>15687</v>
      </c>
      <c r="BT960" t="str">
        <f>HYPERLINK("https%3A%2F%2Fwww.webofscience.com%2Fwos%2Fwoscc%2Ffull-record%2FWOS:000249446600014","View Full Record in Web of Science")</f>
        <v>View Full Record in Web of Science</v>
      </c>
    </row>
    <row r="961" spans="1:72" x14ac:dyDescent="0.15">
      <c r="A961" t="s">
        <v>72</v>
      </c>
      <c r="B961" t="s">
        <v>15688</v>
      </c>
      <c r="C961" t="s">
        <v>74</v>
      </c>
      <c r="D961" t="s">
        <v>74</v>
      </c>
      <c r="E961" t="s">
        <v>74</v>
      </c>
      <c r="F961" t="s">
        <v>15689</v>
      </c>
      <c r="G961" t="s">
        <v>74</v>
      </c>
      <c r="H961" t="s">
        <v>74</v>
      </c>
      <c r="I961" t="s">
        <v>15690</v>
      </c>
      <c r="J961" t="s">
        <v>574</v>
      </c>
      <c r="K961" t="s">
        <v>74</v>
      </c>
      <c r="L961" t="s">
        <v>74</v>
      </c>
      <c r="M961" t="s">
        <v>78</v>
      </c>
      <c r="N961" t="s">
        <v>79</v>
      </c>
      <c r="O961" t="s">
        <v>74</v>
      </c>
      <c r="P961" t="s">
        <v>74</v>
      </c>
      <c r="Q961" t="s">
        <v>74</v>
      </c>
      <c r="R961" t="s">
        <v>74</v>
      </c>
      <c r="S961" t="s">
        <v>74</v>
      </c>
      <c r="T961" t="s">
        <v>74</v>
      </c>
      <c r="U961" t="s">
        <v>15691</v>
      </c>
      <c r="V961" t="s">
        <v>15692</v>
      </c>
      <c r="W961" t="s">
        <v>15693</v>
      </c>
      <c r="X961" t="s">
        <v>9398</v>
      </c>
      <c r="Y961" t="s">
        <v>15694</v>
      </c>
      <c r="Z961" t="s">
        <v>15695</v>
      </c>
      <c r="AA961" t="s">
        <v>15696</v>
      </c>
      <c r="AB961" t="s">
        <v>15697</v>
      </c>
      <c r="AC961" t="s">
        <v>74</v>
      </c>
      <c r="AD961" t="s">
        <v>74</v>
      </c>
      <c r="AE961" t="s">
        <v>74</v>
      </c>
      <c r="AF961" t="s">
        <v>74</v>
      </c>
      <c r="AG961">
        <v>55</v>
      </c>
      <c r="AH961">
        <v>117</v>
      </c>
      <c r="AI961">
        <v>126</v>
      </c>
      <c r="AJ961">
        <v>0</v>
      </c>
      <c r="AK961">
        <v>30</v>
      </c>
      <c r="AL961" t="s">
        <v>583</v>
      </c>
      <c r="AM961" t="s">
        <v>584</v>
      </c>
      <c r="AN961" t="s">
        <v>585</v>
      </c>
      <c r="AO961" t="s">
        <v>586</v>
      </c>
      <c r="AP961" t="s">
        <v>587</v>
      </c>
      <c r="AQ961" t="s">
        <v>74</v>
      </c>
      <c r="AR961" t="s">
        <v>588</v>
      </c>
      <c r="AS961" t="s">
        <v>589</v>
      </c>
      <c r="AT961" t="s">
        <v>15509</v>
      </c>
      <c r="AU961">
        <v>2007</v>
      </c>
      <c r="AV961">
        <v>20</v>
      </c>
      <c r="AW961">
        <v>17</v>
      </c>
      <c r="AX961" t="s">
        <v>74</v>
      </c>
      <c r="AY961" t="s">
        <v>74</v>
      </c>
      <c r="AZ961" t="s">
        <v>74</v>
      </c>
      <c r="BA961" t="s">
        <v>74</v>
      </c>
      <c r="BB961">
        <v>4425</v>
      </c>
      <c r="BC961">
        <v>4442</v>
      </c>
      <c r="BD961" t="s">
        <v>74</v>
      </c>
      <c r="BE961" t="s">
        <v>15698</v>
      </c>
      <c r="BF961" t="str">
        <f>HYPERLINK("http://dx.doi.org/10.1175/JCLI4259.1","http://dx.doi.org/10.1175/JCLI4259.1")</f>
        <v>http://dx.doi.org/10.1175/JCLI4259.1</v>
      </c>
      <c r="BG961" t="s">
        <v>74</v>
      </c>
      <c r="BH961" t="s">
        <v>74</v>
      </c>
      <c r="BI961">
        <v>18</v>
      </c>
      <c r="BJ961" t="s">
        <v>204</v>
      </c>
      <c r="BK961" t="s">
        <v>97</v>
      </c>
      <c r="BL961" t="s">
        <v>204</v>
      </c>
      <c r="BM961" t="s">
        <v>15699</v>
      </c>
      <c r="BN961" t="s">
        <v>74</v>
      </c>
      <c r="BO961" t="s">
        <v>179</v>
      </c>
      <c r="BP961" t="s">
        <v>74</v>
      </c>
      <c r="BQ961" t="s">
        <v>74</v>
      </c>
      <c r="BR961" t="s">
        <v>100</v>
      </c>
      <c r="BS961" t="s">
        <v>15700</v>
      </c>
      <c r="BT961" t="str">
        <f>HYPERLINK("https%3A%2F%2Fwww.webofscience.com%2Fwos%2Fwoscc%2Ffull-record%2FWOS:000249237700007","View Full Record in Web of Science")</f>
        <v>View Full Record in Web of Science</v>
      </c>
    </row>
    <row r="962" spans="1:72" x14ac:dyDescent="0.15">
      <c r="A962" t="s">
        <v>72</v>
      </c>
      <c r="B962" t="s">
        <v>15701</v>
      </c>
      <c r="C962" t="s">
        <v>74</v>
      </c>
      <c r="D962" t="s">
        <v>74</v>
      </c>
      <c r="E962" t="s">
        <v>74</v>
      </c>
      <c r="F962" t="s">
        <v>15702</v>
      </c>
      <c r="G962" t="s">
        <v>74</v>
      </c>
      <c r="H962" t="s">
        <v>74</v>
      </c>
      <c r="I962" t="s">
        <v>15703</v>
      </c>
      <c r="J962" t="s">
        <v>574</v>
      </c>
      <c r="K962" t="s">
        <v>74</v>
      </c>
      <c r="L962" t="s">
        <v>74</v>
      </c>
      <c r="M962" t="s">
        <v>78</v>
      </c>
      <c r="N962" t="s">
        <v>79</v>
      </c>
      <c r="O962" t="s">
        <v>74</v>
      </c>
      <c r="P962" t="s">
        <v>74</v>
      </c>
      <c r="Q962" t="s">
        <v>74</v>
      </c>
      <c r="R962" t="s">
        <v>74</v>
      </c>
      <c r="S962" t="s">
        <v>74</v>
      </c>
      <c r="T962" t="s">
        <v>74</v>
      </c>
      <c r="U962" t="s">
        <v>15704</v>
      </c>
      <c r="V962" t="s">
        <v>15705</v>
      </c>
      <c r="W962" t="s">
        <v>15706</v>
      </c>
      <c r="X962" t="s">
        <v>15707</v>
      </c>
      <c r="Y962" t="s">
        <v>15708</v>
      </c>
      <c r="Z962" t="s">
        <v>15709</v>
      </c>
      <c r="AA962" t="s">
        <v>15710</v>
      </c>
      <c r="AB962" t="s">
        <v>15711</v>
      </c>
      <c r="AC962" t="s">
        <v>74</v>
      </c>
      <c r="AD962" t="s">
        <v>74</v>
      </c>
      <c r="AE962" t="s">
        <v>74</v>
      </c>
      <c r="AF962" t="s">
        <v>74</v>
      </c>
      <c r="AG962">
        <v>24</v>
      </c>
      <c r="AH962">
        <v>13</v>
      </c>
      <c r="AI962">
        <v>14</v>
      </c>
      <c r="AJ962">
        <v>0</v>
      </c>
      <c r="AK962">
        <v>5</v>
      </c>
      <c r="AL962" t="s">
        <v>583</v>
      </c>
      <c r="AM962" t="s">
        <v>584</v>
      </c>
      <c r="AN962" t="s">
        <v>585</v>
      </c>
      <c r="AO962" t="s">
        <v>586</v>
      </c>
      <c r="AP962" t="s">
        <v>587</v>
      </c>
      <c r="AQ962" t="s">
        <v>74</v>
      </c>
      <c r="AR962" t="s">
        <v>588</v>
      </c>
      <c r="AS962" t="s">
        <v>589</v>
      </c>
      <c r="AT962" t="s">
        <v>15012</v>
      </c>
      <c r="AU962">
        <v>2007</v>
      </c>
      <c r="AV962">
        <v>20</v>
      </c>
      <c r="AW962">
        <v>18</v>
      </c>
      <c r="AX962" t="s">
        <v>74</v>
      </c>
      <c r="AY962" t="s">
        <v>74</v>
      </c>
      <c r="AZ962" t="s">
        <v>74</v>
      </c>
      <c r="BA962" t="s">
        <v>74</v>
      </c>
      <c r="BB962">
        <v>4717</v>
      </c>
      <c r="BC962">
        <v>4732</v>
      </c>
      <c r="BD962" t="s">
        <v>74</v>
      </c>
      <c r="BE962" t="s">
        <v>15712</v>
      </c>
      <c r="BF962" t="str">
        <f>HYPERLINK("http://dx.doi.org/10.1175/JCLI4274.1","http://dx.doi.org/10.1175/JCLI4274.1")</f>
        <v>http://dx.doi.org/10.1175/JCLI4274.1</v>
      </c>
      <c r="BG962" t="s">
        <v>74</v>
      </c>
      <c r="BH962" t="s">
        <v>74</v>
      </c>
      <c r="BI962">
        <v>16</v>
      </c>
      <c r="BJ962" t="s">
        <v>204</v>
      </c>
      <c r="BK962" t="s">
        <v>97</v>
      </c>
      <c r="BL962" t="s">
        <v>204</v>
      </c>
      <c r="BM962" t="s">
        <v>15713</v>
      </c>
      <c r="BN962" t="s">
        <v>74</v>
      </c>
      <c r="BO962" t="s">
        <v>649</v>
      </c>
      <c r="BP962" t="s">
        <v>74</v>
      </c>
      <c r="BQ962" t="s">
        <v>74</v>
      </c>
      <c r="BR962" t="s">
        <v>100</v>
      </c>
      <c r="BS962" t="s">
        <v>15714</v>
      </c>
      <c r="BT962" t="str">
        <f>HYPERLINK("https%3A%2F%2Fwww.webofscience.com%2Fwos%2Fwoscc%2Ffull-record%2FWOS:000249885700013","View Full Record in Web of Science")</f>
        <v>View Full Record in Web of Science</v>
      </c>
    </row>
    <row r="963" spans="1:72" x14ac:dyDescent="0.15">
      <c r="A963" t="s">
        <v>72</v>
      </c>
      <c r="B963" t="s">
        <v>15715</v>
      </c>
      <c r="C963" t="s">
        <v>74</v>
      </c>
      <c r="D963" t="s">
        <v>74</v>
      </c>
      <c r="E963" t="s">
        <v>74</v>
      </c>
      <c r="F963" t="s">
        <v>15716</v>
      </c>
      <c r="G963" t="s">
        <v>74</v>
      </c>
      <c r="H963" t="s">
        <v>74</v>
      </c>
      <c r="I963" t="s">
        <v>15717</v>
      </c>
      <c r="J963" t="s">
        <v>13847</v>
      </c>
      <c r="K963" t="s">
        <v>74</v>
      </c>
      <c r="L963" t="s">
        <v>74</v>
      </c>
      <c r="M963" t="s">
        <v>78</v>
      </c>
      <c r="N963" t="s">
        <v>79</v>
      </c>
      <c r="O963" t="s">
        <v>74</v>
      </c>
      <c r="P963" t="s">
        <v>74</v>
      </c>
      <c r="Q963" t="s">
        <v>74</v>
      </c>
      <c r="R963" t="s">
        <v>74</v>
      </c>
      <c r="S963" t="s">
        <v>74</v>
      </c>
      <c r="T963" t="s">
        <v>15718</v>
      </c>
      <c r="U963" t="s">
        <v>15719</v>
      </c>
      <c r="V963" t="s">
        <v>15720</v>
      </c>
      <c r="W963" t="s">
        <v>15721</v>
      </c>
      <c r="X963" t="s">
        <v>15722</v>
      </c>
      <c r="Y963" t="s">
        <v>15723</v>
      </c>
      <c r="Z963" t="s">
        <v>15724</v>
      </c>
      <c r="AA963" t="s">
        <v>15725</v>
      </c>
      <c r="AB963" t="s">
        <v>15726</v>
      </c>
      <c r="AC963" t="s">
        <v>74</v>
      </c>
      <c r="AD963" t="s">
        <v>74</v>
      </c>
      <c r="AE963" t="s">
        <v>74</v>
      </c>
      <c r="AF963" t="s">
        <v>74</v>
      </c>
      <c r="AG963">
        <v>78</v>
      </c>
      <c r="AH963">
        <v>40</v>
      </c>
      <c r="AI963">
        <v>41</v>
      </c>
      <c r="AJ963">
        <v>1</v>
      </c>
      <c r="AK963">
        <v>13</v>
      </c>
      <c r="AL963" t="s">
        <v>15727</v>
      </c>
      <c r="AM963" t="s">
        <v>1467</v>
      </c>
      <c r="AN963" t="s">
        <v>15728</v>
      </c>
      <c r="AO963" t="s">
        <v>13859</v>
      </c>
      <c r="AP963" t="s">
        <v>74</v>
      </c>
      <c r="AQ963" t="s">
        <v>74</v>
      </c>
      <c r="AR963" t="s">
        <v>13861</v>
      </c>
      <c r="AS963" t="s">
        <v>13862</v>
      </c>
      <c r="AT963" t="s">
        <v>15509</v>
      </c>
      <c r="AU963">
        <v>2007</v>
      </c>
      <c r="AV963">
        <v>210</v>
      </c>
      <c r="AW963">
        <v>17</v>
      </c>
      <c r="AX963" t="s">
        <v>74</v>
      </c>
      <c r="AY963" t="s">
        <v>74</v>
      </c>
      <c r="AZ963" t="s">
        <v>74</v>
      </c>
      <c r="BA963" t="s">
        <v>74</v>
      </c>
      <c r="BB963">
        <v>3043</v>
      </c>
      <c r="BC963">
        <v>3053</v>
      </c>
      <c r="BD963" t="s">
        <v>74</v>
      </c>
      <c r="BE963" t="s">
        <v>15729</v>
      </c>
      <c r="BF963" t="str">
        <f>HYPERLINK("http://dx.doi.org/10.1242/jeb.009381","http://dx.doi.org/10.1242/jeb.009381")</f>
        <v>http://dx.doi.org/10.1242/jeb.009381</v>
      </c>
      <c r="BG963" t="s">
        <v>74</v>
      </c>
      <c r="BH963" t="s">
        <v>74</v>
      </c>
      <c r="BI963">
        <v>11</v>
      </c>
      <c r="BJ963" t="s">
        <v>4848</v>
      </c>
      <c r="BK963" t="s">
        <v>97</v>
      </c>
      <c r="BL963" t="s">
        <v>4849</v>
      </c>
      <c r="BM963" t="s">
        <v>15730</v>
      </c>
      <c r="BN963">
        <v>17704079</v>
      </c>
      <c r="BO963" t="s">
        <v>179</v>
      </c>
      <c r="BP963" t="s">
        <v>74</v>
      </c>
      <c r="BQ963" t="s">
        <v>74</v>
      </c>
      <c r="BR963" t="s">
        <v>100</v>
      </c>
      <c r="BS963" t="s">
        <v>15731</v>
      </c>
      <c r="BT963" t="str">
        <f>HYPERLINK("https%3A%2F%2Fwww.webofscience.com%2Fwos%2Fwoscc%2Ffull-record%2FWOS:000249517300019","View Full Record in Web of Science")</f>
        <v>View Full Record in Web of Science</v>
      </c>
    </row>
    <row r="964" spans="1:72" x14ac:dyDescent="0.15">
      <c r="A964" t="s">
        <v>72</v>
      </c>
      <c r="B964" t="s">
        <v>15732</v>
      </c>
      <c r="C964" t="s">
        <v>74</v>
      </c>
      <c r="D964" t="s">
        <v>74</v>
      </c>
      <c r="E964" t="s">
        <v>74</v>
      </c>
      <c r="F964" t="s">
        <v>15733</v>
      </c>
      <c r="G964" t="s">
        <v>74</v>
      </c>
      <c r="H964" t="s">
        <v>74</v>
      </c>
      <c r="I964" t="s">
        <v>15734</v>
      </c>
      <c r="J964" t="s">
        <v>13847</v>
      </c>
      <c r="K964" t="s">
        <v>74</v>
      </c>
      <c r="L964" t="s">
        <v>74</v>
      </c>
      <c r="M964" t="s">
        <v>78</v>
      </c>
      <c r="N964" t="s">
        <v>79</v>
      </c>
      <c r="O964" t="s">
        <v>74</v>
      </c>
      <c r="P964" t="s">
        <v>74</v>
      </c>
      <c r="Q964" t="s">
        <v>74</v>
      </c>
      <c r="R964" t="s">
        <v>74</v>
      </c>
      <c r="S964" t="s">
        <v>74</v>
      </c>
      <c r="T964" t="s">
        <v>15735</v>
      </c>
      <c r="U964" t="s">
        <v>15736</v>
      </c>
      <c r="V964" t="s">
        <v>15737</v>
      </c>
      <c r="W964" t="s">
        <v>15738</v>
      </c>
      <c r="X964" t="s">
        <v>15739</v>
      </c>
      <c r="Y964" t="s">
        <v>15740</v>
      </c>
      <c r="Z964" t="s">
        <v>15741</v>
      </c>
      <c r="AA964" t="s">
        <v>15742</v>
      </c>
      <c r="AB964" t="s">
        <v>15743</v>
      </c>
      <c r="AC964" t="s">
        <v>74</v>
      </c>
      <c r="AD964" t="s">
        <v>74</v>
      </c>
      <c r="AE964" t="s">
        <v>74</v>
      </c>
      <c r="AF964" t="s">
        <v>74</v>
      </c>
      <c r="AG964">
        <v>34</v>
      </c>
      <c r="AH964">
        <v>105</v>
      </c>
      <c r="AI964">
        <v>124</v>
      </c>
      <c r="AJ964">
        <v>0</v>
      </c>
      <c r="AK964">
        <v>37</v>
      </c>
      <c r="AL964" t="s">
        <v>15727</v>
      </c>
      <c r="AM964" t="s">
        <v>1467</v>
      </c>
      <c r="AN964" t="s">
        <v>15728</v>
      </c>
      <c r="AO964" t="s">
        <v>13859</v>
      </c>
      <c r="AP964" t="s">
        <v>74</v>
      </c>
      <c r="AQ964" t="s">
        <v>74</v>
      </c>
      <c r="AR964" t="s">
        <v>13861</v>
      </c>
      <c r="AS964" t="s">
        <v>13862</v>
      </c>
      <c r="AT964" t="s">
        <v>15509</v>
      </c>
      <c r="AU964">
        <v>2007</v>
      </c>
      <c r="AV964">
        <v>210</v>
      </c>
      <c r="AW964">
        <v>17</v>
      </c>
      <c r="AX964" t="s">
        <v>74</v>
      </c>
      <c r="AY964" t="s">
        <v>74</v>
      </c>
      <c r="AZ964" t="s">
        <v>74</v>
      </c>
      <c r="BA964" t="s">
        <v>74</v>
      </c>
      <c r="BB964">
        <v>3068</v>
      </c>
      <c r="BC964">
        <v>3074</v>
      </c>
      <c r="BD964" t="s">
        <v>74</v>
      </c>
      <c r="BE964" t="s">
        <v>15744</v>
      </c>
      <c r="BF964" t="str">
        <f>HYPERLINK("http://dx.doi.org/10.1242/jeb.003137","http://dx.doi.org/10.1242/jeb.003137")</f>
        <v>http://dx.doi.org/10.1242/jeb.003137</v>
      </c>
      <c r="BG964" t="s">
        <v>74</v>
      </c>
      <c r="BH964" t="s">
        <v>74</v>
      </c>
      <c r="BI964">
        <v>7</v>
      </c>
      <c r="BJ964" t="s">
        <v>4848</v>
      </c>
      <c r="BK964" t="s">
        <v>97</v>
      </c>
      <c r="BL964" t="s">
        <v>4849</v>
      </c>
      <c r="BM964" t="s">
        <v>15730</v>
      </c>
      <c r="BN964">
        <v>17704081</v>
      </c>
      <c r="BO964" t="s">
        <v>74</v>
      </c>
      <c r="BP964" t="s">
        <v>74</v>
      </c>
      <c r="BQ964" t="s">
        <v>74</v>
      </c>
      <c r="BR964" t="s">
        <v>100</v>
      </c>
      <c r="BS964" t="s">
        <v>15745</v>
      </c>
      <c r="BT964" t="str">
        <f>HYPERLINK("https%3A%2F%2Fwww.webofscience.com%2Fwos%2Fwoscc%2Ffull-record%2FWOS:000249517300021","View Full Record in Web of Science")</f>
        <v>View Full Record in Web of Science</v>
      </c>
    </row>
    <row r="965" spans="1:72" x14ac:dyDescent="0.15">
      <c r="A965" t="s">
        <v>72</v>
      </c>
      <c r="B965" t="s">
        <v>15746</v>
      </c>
      <c r="C965" t="s">
        <v>74</v>
      </c>
      <c r="D965" t="s">
        <v>74</v>
      </c>
      <c r="E965" t="s">
        <v>74</v>
      </c>
      <c r="F965" t="s">
        <v>15747</v>
      </c>
      <c r="G965" t="s">
        <v>74</v>
      </c>
      <c r="H965" t="s">
        <v>74</v>
      </c>
      <c r="I965" t="s">
        <v>15748</v>
      </c>
      <c r="J965" t="s">
        <v>5330</v>
      </c>
      <c r="K965" t="s">
        <v>74</v>
      </c>
      <c r="L965" t="s">
        <v>74</v>
      </c>
      <c r="M965" t="s">
        <v>78</v>
      </c>
      <c r="N965" t="s">
        <v>79</v>
      </c>
      <c r="O965" t="s">
        <v>74</v>
      </c>
      <c r="P965" t="s">
        <v>74</v>
      </c>
      <c r="Q965" t="s">
        <v>74</v>
      </c>
      <c r="R965" t="s">
        <v>74</v>
      </c>
      <c r="S965" t="s">
        <v>74</v>
      </c>
      <c r="T965" t="s">
        <v>15749</v>
      </c>
      <c r="U965" t="s">
        <v>15750</v>
      </c>
      <c r="V965" t="s">
        <v>15751</v>
      </c>
      <c r="W965" t="s">
        <v>15752</v>
      </c>
      <c r="X965" t="s">
        <v>15753</v>
      </c>
      <c r="Y965" t="s">
        <v>15754</v>
      </c>
      <c r="Z965" t="s">
        <v>15755</v>
      </c>
      <c r="AA965" t="s">
        <v>74</v>
      </c>
      <c r="AB965" t="s">
        <v>15756</v>
      </c>
      <c r="AC965" t="s">
        <v>74</v>
      </c>
      <c r="AD965" t="s">
        <v>74</v>
      </c>
      <c r="AE965" t="s">
        <v>74</v>
      </c>
      <c r="AF965" t="s">
        <v>74</v>
      </c>
      <c r="AG965">
        <v>54</v>
      </c>
      <c r="AH965">
        <v>33</v>
      </c>
      <c r="AI965">
        <v>37</v>
      </c>
      <c r="AJ965">
        <v>0</v>
      </c>
      <c r="AK965">
        <v>19</v>
      </c>
      <c r="AL965" t="s">
        <v>88</v>
      </c>
      <c r="AM965" t="s">
        <v>5051</v>
      </c>
      <c r="AN965" t="s">
        <v>5052</v>
      </c>
      <c r="AO965" t="s">
        <v>5341</v>
      </c>
      <c r="AP965" t="s">
        <v>74</v>
      </c>
      <c r="AQ965" t="s">
        <v>74</v>
      </c>
      <c r="AR965" t="s">
        <v>5343</v>
      </c>
      <c r="AS965" t="s">
        <v>5344</v>
      </c>
      <c r="AT965" t="s">
        <v>15012</v>
      </c>
      <c r="AU965">
        <v>2007</v>
      </c>
      <c r="AV965">
        <v>71</v>
      </c>
      <c r="AW965">
        <v>3</v>
      </c>
      <c r="AX965" t="s">
        <v>74</v>
      </c>
      <c r="AY965" t="s">
        <v>74</v>
      </c>
      <c r="AZ965" t="s">
        <v>74</v>
      </c>
      <c r="BA965" t="s">
        <v>74</v>
      </c>
      <c r="BB965">
        <v>795</v>
      </c>
      <c r="BC965">
        <v>817</v>
      </c>
      <c r="BD965" t="s">
        <v>74</v>
      </c>
      <c r="BE965" t="s">
        <v>15757</v>
      </c>
      <c r="BF965" t="str">
        <f>HYPERLINK("http://dx.doi.org/10.1111/j.1095-8649.2007.01545.x","http://dx.doi.org/10.1111/j.1095-8649.2007.01545.x")</f>
        <v>http://dx.doi.org/10.1111/j.1095-8649.2007.01545.x</v>
      </c>
      <c r="BG965" t="s">
        <v>74</v>
      </c>
      <c r="BH965" t="s">
        <v>74</v>
      </c>
      <c r="BI965">
        <v>23</v>
      </c>
      <c r="BJ965" t="s">
        <v>5346</v>
      </c>
      <c r="BK965" t="s">
        <v>97</v>
      </c>
      <c r="BL965" t="s">
        <v>5346</v>
      </c>
      <c r="BM965" t="s">
        <v>15758</v>
      </c>
      <c r="BN965" t="s">
        <v>74</v>
      </c>
      <c r="BO965" t="s">
        <v>74</v>
      </c>
      <c r="BP965" t="s">
        <v>74</v>
      </c>
      <c r="BQ965" t="s">
        <v>74</v>
      </c>
      <c r="BR965" t="s">
        <v>100</v>
      </c>
      <c r="BS965" t="s">
        <v>15759</v>
      </c>
      <c r="BT965" t="str">
        <f>HYPERLINK("https%3A%2F%2Fwww.webofscience.com%2Fwos%2Fwoscc%2Ffull-record%2FWOS:000249169100011","View Full Record in Web of Science")</f>
        <v>View Full Record in Web of Science</v>
      </c>
    </row>
    <row r="966" spans="1:72" x14ac:dyDescent="0.15">
      <c r="A966" t="s">
        <v>72</v>
      </c>
      <c r="B966" t="s">
        <v>15760</v>
      </c>
      <c r="C966" t="s">
        <v>74</v>
      </c>
      <c r="D966" t="s">
        <v>74</v>
      </c>
      <c r="E966" t="s">
        <v>74</v>
      </c>
      <c r="F966" t="s">
        <v>15761</v>
      </c>
      <c r="G966" t="s">
        <v>74</v>
      </c>
      <c r="H966" t="s">
        <v>74</v>
      </c>
      <c r="I966" t="s">
        <v>15762</v>
      </c>
      <c r="J966" t="s">
        <v>15763</v>
      </c>
      <c r="K966" t="s">
        <v>74</v>
      </c>
      <c r="L966" t="s">
        <v>74</v>
      </c>
      <c r="M966" t="s">
        <v>78</v>
      </c>
      <c r="N966" t="s">
        <v>79</v>
      </c>
      <c r="O966" t="s">
        <v>74</v>
      </c>
      <c r="P966" t="s">
        <v>74</v>
      </c>
      <c r="Q966" t="s">
        <v>74</v>
      </c>
      <c r="R966" t="s">
        <v>74</v>
      </c>
      <c r="S966" t="s">
        <v>74</v>
      </c>
      <c r="T966" t="s">
        <v>74</v>
      </c>
      <c r="U966" t="s">
        <v>15764</v>
      </c>
      <c r="V966" t="s">
        <v>15765</v>
      </c>
      <c r="W966" t="s">
        <v>15766</v>
      </c>
      <c r="X966" t="s">
        <v>15767</v>
      </c>
      <c r="Y966" t="s">
        <v>15768</v>
      </c>
      <c r="Z966" t="s">
        <v>15769</v>
      </c>
      <c r="AA966" t="s">
        <v>15770</v>
      </c>
      <c r="AB966" t="s">
        <v>15771</v>
      </c>
      <c r="AC966" t="s">
        <v>74</v>
      </c>
      <c r="AD966" t="s">
        <v>74</v>
      </c>
      <c r="AE966" t="s">
        <v>74</v>
      </c>
      <c r="AF966" t="s">
        <v>74</v>
      </c>
      <c r="AG966">
        <v>35</v>
      </c>
      <c r="AH966">
        <v>170</v>
      </c>
      <c r="AI966">
        <v>196</v>
      </c>
      <c r="AJ966">
        <v>2</v>
      </c>
      <c r="AK966">
        <v>29</v>
      </c>
      <c r="AL966" t="s">
        <v>15772</v>
      </c>
      <c r="AM966" t="s">
        <v>15773</v>
      </c>
      <c r="AN966" t="s">
        <v>15774</v>
      </c>
      <c r="AO966" t="s">
        <v>15775</v>
      </c>
      <c r="AP966" t="s">
        <v>15776</v>
      </c>
      <c r="AQ966" t="s">
        <v>74</v>
      </c>
      <c r="AR966" t="s">
        <v>15777</v>
      </c>
      <c r="AS966" t="s">
        <v>15778</v>
      </c>
      <c r="AT966" t="s">
        <v>15012</v>
      </c>
      <c r="AU966">
        <v>2007</v>
      </c>
      <c r="AV966">
        <v>65</v>
      </c>
      <c r="AW966">
        <v>5</v>
      </c>
      <c r="AX966" t="s">
        <v>74</v>
      </c>
      <c r="AY966" t="s">
        <v>74</v>
      </c>
      <c r="AZ966" t="s">
        <v>74</v>
      </c>
      <c r="BA966" t="s">
        <v>74</v>
      </c>
      <c r="BB966">
        <v>655</v>
      </c>
      <c r="BC966">
        <v>683</v>
      </c>
      <c r="BD966" t="s">
        <v>74</v>
      </c>
      <c r="BE966" t="s">
        <v>15779</v>
      </c>
      <c r="BF966" t="str">
        <f>HYPERLINK("http://dx.doi.org/10.1357/002224007783649484","http://dx.doi.org/10.1357/002224007783649484")</f>
        <v>http://dx.doi.org/10.1357/002224007783649484</v>
      </c>
      <c r="BG966" t="s">
        <v>74</v>
      </c>
      <c r="BH966" t="s">
        <v>74</v>
      </c>
      <c r="BI966">
        <v>29</v>
      </c>
      <c r="BJ966" t="s">
        <v>630</v>
      </c>
      <c r="BK966" t="s">
        <v>97</v>
      </c>
      <c r="BL966" t="s">
        <v>630</v>
      </c>
      <c r="BM966" t="s">
        <v>15780</v>
      </c>
      <c r="BN966" t="s">
        <v>74</v>
      </c>
      <c r="BO966" t="s">
        <v>74</v>
      </c>
      <c r="BP966" t="s">
        <v>74</v>
      </c>
      <c r="BQ966" t="s">
        <v>74</v>
      </c>
      <c r="BR966" t="s">
        <v>100</v>
      </c>
      <c r="BS966" t="s">
        <v>15781</v>
      </c>
      <c r="BT966" t="str">
        <f>HYPERLINK("https%3A%2F%2Fwww.webofscience.com%2Fwos%2Fwoscc%2Ffull-record%2FWOS:000253550100004","View Full Record in Web of Science")</f>
        <v>View Full Record in Web of Science</v>
      </c>
    </row>
    <row r="967" spans="1:72" x14ac:dyDescent="0.15">
      <c r="A967" t="s">
        <v>72</v>
      </c>
      <c r="B967" t="s">
        <v>15782</v>
      </c>
      <c r="C967" t="s">
        <v>74</v>
      </c>
      <c r="D967" t="s">
        <v>74</v>
      </c>
      <c r="E967" t="s">
        <v>74</v>
      </c>
      <c r="F967" t="s">
        <v>15783</v>
      </c>
      <c r="G967" t="s">
        <v>74</v>
      </c>
      <c r="H967" t="s">
        <v>74</v>
      </c>
      <c r="I967" t="s">
        <v>15784</v>
      </c>
      <c r="J967" t="s">
        <v>15763</v>
      </c>
      <c r="K967" t="s">
        <v>74</v>
      </c>
      <c r="L967" t="s">
        <v>74</v>
      </c>
      <c r="M967" t="s">
        <v>78</v>
      </c>
      <c r="N967" t="s">
        <v>79</v>
      </c>
      <c r="O967" t="s">
        <v>74</v>
      </c>
      <c r="P967" t="s">
        <v>74</v>
      </c>
      <c r="Q967" t="s">
        <v>74</v>
      </c>
      <c r="R967" t="s">
        <v>74</v>
      </c>
      <c r="S967" t="s">
        <v>74</v>
      </c>
      <c r="T967" t="s">
        <v>74</v>
      </c>
      <c r="U967" t="s">
        <v>15785</v>
      </c>
      <c r="V967" t="s">
        <v>15786</v>
      </c>
      <c r="W967" t="s">
        <v>15787</v>
      </c>
      <c r="X967" t="s">
        <v>15788</v>
      </c>
      <c r="Y967" t="s">
        <v>15789</v>
      </c>
      <c r="Z967" t="s">
        <v>15790</v>
      </c>
      <c r="AA967" t="s">
        <v>74</v>
      </c>
      <c r="AB967" t="s">
        <v>74</v>
      </c>
      <c r="AC967" t="s">
        <v>74</v>
      </c>
      <c r="AD967" t="s">
        <v>74</v>
      </c>
      <c r="AE967" t="s">
        <v>74</v>
      </c>
      <c r="AF967" t="s">
        <v>74</v>
      </c>
      <c r="AG967">
        <v>54</v>
      </c>
      <c r="AH967">
        <v>22</v>
      </c>
      <c r="AI967">
        <v>24</v>
      </c>
      <c r="AJ967">
        <v>0</v>
      </c>
      <c r="AK967">
        <v>5</v>
      </c>
      <c r="AL967" t="s">
        <v>15772</v>
      </c>
      <c r="AM967" t="s">
        <v>15773</v>
      </c>
      <c r="AN967" t="s">
        <v>15774</v>
      </c>
      <c r="AO967" t="s">
        <v>15775</v>
      </c>
      <c r="AP967" t="s">
        <v>15776</v>
      </c>
      <c r="AQ967" t="s">
        <v>74</v>
      </c>
      <c r="AR967" t="s">
        <v>15777</v>
      </c>
      <c r="AS967" t="s">
        <v>15778</v>
      </c>
      <c r="AT967" t="s">
        <v>15012</v>
      </c>
      <c r="AU967">
        <v>2007</v>
      </c>
      <c r="AV967">
        <v>65</v>
      </c>
      <c r="AW967">
        <v>5</v>
      </c>
      <c r="AX967" t="s">
        <v>74</v>
      </c>
      <c r="AY967" t="s">
        <v>74</v>
      </c>
      <c r="AZ967" t="s">
        <v>74</v>
      </c>
      <c r="BA967" t="s">
        <v>74</v>
      </c>
      <c r="BB967">
        <v>685</v>
      </c>
      <c r="BC967">
        <v>714</v>
      </c>
      <c r="BD967" t="s">
        <v>74</v>
      </c>
      <c r="BE967" t="s">
        <v>15791</v>
      </c>
      <c r="BF967" t="str">
        <f>HYPERLINK("http://dx.doi.org/10.1357/002224007783649466","http://dx.doi.org/10.1357/002224007783649466")</f>
        <v>http://dx.doi.org/10.1357/002224007783649466</v>
      </c>
      <c r="BG967" t="s">
        <v>74</v>
      </c>
      <c r="BH967" t="s">
        <v>74</v>
      </c>
      <c r="BI967">
        <v>30</v>
      </c>
      <c r="BJ967" t="s">
        <v>630</v>
      </c>
      <c r="BK967" t="s">
        <v>97</v>
      </c>
      <c r="BL967" t="s">
        <v>630</v>
      </c>
      <c r="BM967" t="s">
        <v>15780</v>
      </c>
      <c r="BN967" t="s">
        <v>74</v>
      </c>
      <c r="BO967" t="s">
        <v>74</v>
      </c>
      <c r="BP967" t="s">
        <v>74</v>
      </c>
      <c r="BQ967" t="s">
        <v>74</v>
      </c>
      <c r="BR967" t="s">
        <v>100</v>
      </c>
      <c r="BS967" t="s">
        <v>15792</v>
      </c>
      <c r="BT967" t="str">
        <f>HYPERLINK("https%3A%2F%2Fwww.webofscience.com%2Fwos%2Fwoscc%2Ffull-record%2FWOS:000253550100005","View Full Record in Web of Science")</f>
        <v>View Full Record in Web of Science</v>
      </c>
    </row>
    <row r="968" spans="1:72" x14ac:dyDescent="0.15">
      <c r="A968" t="s">
        <v>72</v>
      </c>
      <c r="B968" t="s">
        <v>15793</v>
      </c>
      <c r="C968" t="s">
        <v>74</v>
      </c>
      <c r="D968" t="s">
        <v>74</v>
      </c>
      <c r="E968" t="s">
        <v>74</v>
      </c>
      <c r="F968" t="s">
        <v>15794</v>
      </c>
      <c r="G968" t="s">
        <v>74</v>
      </c>
      <c r="H968" t="s">
        <v>74</v>
      </c>
      <c r="I968" t="s">
        <v>15795</v>
      </c>
      <c r="J968" t="s">
        <v>15796</v>
      </c>
      <c r="K968" t="s">
        <v>74</v>
      </c>
      <c r="L968" t="s">
        <v>74</v>
      </c>
      <c r="M968" t="s">
        <v>78</v>
      </c>
      <c r="N968" t="s">
        <v>79</v>
      </c>
      <c r="O968" t="s">
        <v>74</v>
      </c>
      <c r="P968" t="s">
        <v>74</v>
      </c>
      <c r="Q968" t="s">
        <v>74</v>
      </c>
      <c r="R968" t="s">
        <v>74</v>
      </c>
      <c r="S968" t="s">
        <v>74</v>
      </c>
      <c r="T968" t="s">
        <v>15797</v>
      </c>
      <c r="U968" t="s">
        <v>15798</v>
      </c>
      <c r="V968" t="s">
        <v>15799</v>
      </c>
      <c r="W968" t="s">
        <v>15800</v>
      </c>
      <c r="X968" t="s">
        <v>15801</v>
      </c>
      <c r="Y968" t="s">
        <v>10124</v>
      </c>
      <c r="Z968" t="s">
        <v>15802</v>
      </c>
      <c r="AA968" t="s">
        <v>10126</v>
      </c>
      <c r="AB968" t="s">
        <v>10127</v>
      </c>
      <c r="AC968" t="s">
        <v>74</v>
      </c>
      <c r="AD968" t="s">
        <v>74</v>
      </c>
      <c r="AE968" t="s">
        <v>74</v>
      </c>
      <c r="AF968" t="s">
        <v>74</v>
      </c>
      <c r="AG968">
        <v>38</v>
      </c>
      <c r="AH968">
        <v>28</v>
      </c>
      <c r="AI968">
        <v>30</v>
      </c>
      <c r="AJ968">
        <v>0</v>
      </c>
      <c r="AK968">
        <v>7</v>
      </c>
      <c r="AL968" t="s">
        <v>15803</v>
      </c>
      <c r="AM968" t="s">
        <v>10379</v>
      </c>
      <c r="AN968" t="s">
        <v>15804</v>
      </c>
      <c r="AO968" t="s">
        <v>15805</v>
      </c>
      <c r="AP968" t="s">
        <v>15806</v>
      </c>
      <c r="AQ968" t="s">
        <v>74</v>
      </c>
      <c r="AR968" t="s">
        <v>15807</v>
      </c>
      <c r="AS968" t="s">
        <v>15808</v>
      </c>
      <c r="AT968" t="s">
        <v>15012</v>
      </c>
      <c r="AU968">
        <v>2007</v>
      </c>
      <c r="AV968">
        <v>17</v>
      </c>
      <c r="AW968">
        <v>9</v>
      </c>
      <c r="AX968" t="s">
        <v>74</v>
      </c>
      <c r="AY968" t="s">
        <v>74</v>
      </c>
      <c r="AZ968" t="s">
        <v>74</v>
      </c>
      <c r="BA968" t="s">
        <v>74</v>
      </c>
      <c r="BB968">
        <v>1483</v>
      </c>
      <c r="BC968">
        <v>1490</v>
      </c>
      <c r="BD968" t="s">
        <v>74</v>
      </c>
      <c r="BE968" t="s">
        <v>74</v>
      </c>
      <c r="BF968" t="s">
        <v>74</v>
      </c>
      <c r="BG968" t="s">
        <v>74</v>
      </c>
      <c r="BH968" t="s">
        <v>74</v>
      </c>
      <c r="BI968">
        <v>8</v>
      </c>
      <c r="BJ968" t="s">
        <v>1925</v>
      </c>
      <c r="BK968" t="s">
        <v>97</v>
      </c>
      <c r="BL968" t="s">
        <v>1925</v>
      </c>
      <c r="BM968" t="s">
        <v>15809</v>
      </c>
      <c r="BN968">
        <v>18062226</v>
      </c>
      <c r="BO968" t="s">
        <v>74</v>
      </c>
      <c r="BP968" t="s">
        <v>74</v>
      </c>
      <c r="BQ968" t="s">
        <v>74</v>
      </c>
      <c r="BR968" t="s">
        <v>100</v>
      </c>
      <c r="BS968" t="s">
        <v>15810</v>
      </c>
      <c r="BT968" t="str">
        <f>HYPERLINK("https%3A%2F%2Fwww.webofscience.com%2Fwos%2Fwoscc%2Ffull-record%2FWOS:000249875200009","View Full Record in Web of Science")</f>
        <v>View Full Record in Web of Science</v>
      </c>
    </row>
    <row r="969" spans="1:72" x14ac:dyDescent="0.15">
      <c r="A969" t="s">
        <v>72</v>
      </c>
      <c r="B969" t="s">
        <v>15811</v>
      </c>
      <c r="C969" t="s">
        <v>74</v>
      </c>
      <c r="D969" t="s">
        <v>74</v>
      </c>
      <c r="E969" t="s">
        <v>74</v>
      </c>
      <c r="F969" t="s">
        <v>15812</v>
      </c>
      <c r="G969" t="s">
        <v>74</v>
      </c>
      <c r="H969" t="s">
        <v>74</v>
      </c>
      <c r="I969" t="s">
        <v>15813</v>
      </c>
      <c r="J969" t="s">
        <v>12371</v>
      </c>
      <c r="K969" t="s">
        <v>74</v>
      </c>
      <c r="L969" t="s">
        <v>74</v>
      </c>
      <c r="M969" t="s">
        <v>78</v>
      </c>
      <c r="N969" t="s">
        <v>79</v>
      </c>
      <c r="O969" t="s">
        <v>74</v>
      </c>
      <c r="P969" t="s">
        <v>74</v>
      </c>
      <c r="Q969" t="s">
        <v>74</v>
      </c>
      <c r="R969" t="s">
        <v>74</v>
      </c>
      <c r="S969" t="s">
        <v>74</v>
      </c>
      <c r="T969" t="s">
        <v>74</v>
      </c>
      <c r="U969" t="s">
        <v>15814</v>
      </c>
      <c r="V969" t="s">
        <v>15815</v>
      </c>
      <c r="W969" t="s">
        <v>15816</v>
      </c>
      <c r="X969" t="s">
        <v>15817</v>
      </c>
      <c r="Y969" t="s">
        <v>15818</v>
      </c>
      <c r="Z969" t="s">
        <v>15819</v>
      </c>
      <c r="AA969" t="s">
        <v>15820</v>
      </c>
      <c r="AB969" t="s">
        <v>15821</v>
      </c>
      <c r="AC969" t="s">
        <v>15822</v>
      </c>
      <c r="AD969" t="s">
        <v>242</v>
      </c>
      <c r="AE969" t="s">
        <v>74</v>
      </c>
      <c r="AF969" t="s">
        <v>74</v>
      </c>
      <c r="AG969">
        <v>41</v>
      </c>
      <c r="AH969">
        <v>82</v>
      </c>
      <c r="AI969">
        <v>87</v>
      </c>
      <c r="AJ969">
        <v>0</v>
      </c>
      <c r="AK969">
        <v>14</v>
      </c>
      <c r="AL969" t="s">
        <v>583</v>
      </c>
      <c r="AM969" t="s">
        <v>584</v>
      </c>
      <c r="AN969" t="s">
        <v>585</v>
      </c>
      <c r="AO969" t="s">
        <v>12379</v>
      </c>
      <c r="AP969" t="s">
        <v>13948</v>
      </c>
      <c r="AQ969" t="s">
        <v>74</v>
      </c>
      <c r="AR969" t="s">
        <v>12380</v>
      </c>
      <c r="AS969" t="s">
        <v>12381</v>
      </c>
      <c r="AT969" t="s">
        <v>15012</v>
      </c>
      <c r="AU969">
        <v>2007</v>
      </c>
      <c r="AV969">
        <v>37</v>
      </c>
      <c r="AW969">
        <v>9</v>
      </c>
      <c r="AX969" t="s">
        <v>74</v>
      </c>
      <c r="AY969" t="s">
        <v>74</v>
      </c>
      <c r="AZ969" t="s">
        <v>74</v>
      </c>
      <c r="BA969" t="s">
        <v>74</v>
      </c>
      <c r="BB969">
        <v>2267</v>
      </c>
      <c r="BC969">
        <v>2289</v>
      </c>
      <c r="BD969" t="s">
        <v>74</v>
      </c>
      <c r="BE969" t="s">
        <v>15823</v>
      </c>
      <c r="BF969" t="str">
        <f>HYPERLINK("http://dx.doi.org/10.1175/JPO3120.1","http://dx.doi.org/10.1175/JPO3120.1")</f>
        <v>http://dx.doi.org/10.1175/JPO3120.1</v>
      </c>
      <c r="BG969" t="s">
        <v>74</v>
      </c>
      <c r="BH969" t="s">
        <v>74</v>
      </c>
      <c r="BI969">
        <v>23</v>
      </c>
      <c r="BJ969" t="s">
        <v>630</v>
      </c>
      <c r="BK969" t="s">
        <v>97</v>
      </c>
      <c r="BL969" t="s">
        <v>630</v>
      </c>
      <c r="BM969" t="s">
        <v>15824</v>
      </c>
      <c r="BN969" t="s">
        <v>74</v>
      </c>
      <c r="BO969" t="s">
        <v>9182</v>
      </c>
      <c r="BP969" t="s">
        <v>74</v>
      </c>
      <c r="BQ969" t="s">
        <v>74</v>
      </c>
      <c r="BR969" t="s">
        <v>100</v>
      </c>
      <c r="BS969" t="s">
        <v>15825</v>
      </c>
      <c r="BT969" t="str">
        <f>HYPERLINK("https%3A%2F%2Fwww.webofscience.com%2Fwos%2Fwoscc%2Ffull-record%2FWOS:000249641400005","View Full Record in Web of Science")</f>
        <v>View Full Record in Web of Science</v>
      </c>
    </row>
    <row r="970" spans="1:72" x14ac:dyDescent="0.15">
      <c r="A970" t="s">
        <v>72</v>
      </c>
      <c r="B970" t="s">
        <v>15826</v>
      </c>
      <c r="C970" t="s">
        <v>74</v>
      </c>
      <c r="D970" t="s">
        <v>74</v>
      </c>
      <c r="E970" t="s">
        <v>74</v>
      </c>
      <c r="F970" t="s">
        <v>15827</v>
      </c>
      <c r="G970" t="s">
        <v>74</v>
      </c>
      <c r="H970" t="s">
        <v>74</v>
      </c>
      <c r="I970" t="s">
        <v>15828</v>
      </c>
      <c r="J970" t="s">
        <v>15829</v>
      </c>
      <c r="K970" t="s">
        <v>74</v>
      </c>
      <c r="L970" t="s">
        <v>74</v>
      </c>
      <c r="M970" t="s">
        <v>78</v>
      </c>
      <c r="N970" t="s">
        <v>79</v>
      </c>
      <c r="O970" t="s">
        <v>74</v>
      </c>
      <c r="P970" t="s">
        <v>74</v>
      </c>
      <c r="Q970" t="s">
        <v>74</v>
      </c>
      <c r="R970" t="s">
        <v>74</v>
      </c>
      <c r="S970" t="s">
        <v>74</v>
      </c>
      <c r="T970" t="s">
        <v>74</v>
      </c>
      <c r="U970" t="s">
        <v>15830</v>
      </c>
      <c r="V970" t="s">
        <v>15831</v>
      </c>
      <c r="W970" t="s">
        <v>15832</v>
      </c>
      <c r="X970" t="s">
        <v>15833</v>
      </c>
      <c r="Y970" t="s">
        <v>15834</v>
      </c>
      <c r="Z970" t="s">
        <v>15835</v>
      </c>
      <c r="AA970" t="s">
        <v>15836</v>
      </c>
      <c r="AB970" t="s">
        <v>15837</v>
      </c>
      <c r="AC970" t="s">
        <v>6055</v>
      </c>
      <c r="AD970" t="s">
        <v>444</v>
      </c>
      <c r="AE970" t="s">
        <v>74</v>
      </c>
      <c r="AF970" t="s">
        <v>74</v>
      </c>
      <c r="AG970">
        <v>44</v>
      </c>
      <c r="AH970">
        <v>61</v>
      </c>
      <c r="AI970">
        <v>63</v>
      </c>
      <c r="AJ970">
        <v>2</v>
      </c>
      <c r="AK970">
        <v>34</v>
      </c>
      <c r="AL970" t="s">
        <v>2678</v>
      </c>
      <c r="AM970" t="s">
        <v>522</v>
      </c>
      <c r="AN970" t="s">
        <v>4192</v>
      </c>
      <c r="AO970" t="s">
        <v>15838</v>
      </c>
      <c r="AP970" t="s">
        <v>15839</v>
      </c>
      <c r="AQ970" t="s">
        <v>74</v>
      </c>
      <c r="AR970" t="s">
        <v>15840</v>
      </c>
      <c r="AS970" t="s">
        <v>15841</v>
      </c>
      <c r="AT970" t="s">
        <v>15012</v>
      </c>
      <c r="AU970">
        <v>2007</v>
      </c>
      <c r="AV970">
        <v>29</v>
      </c>
      <c r="AW970">
        <v>9</v>
      </c>
      <c r="AX970" t="s">
        <v>74</v>
      </c>
      <c r="AY970" t="s">
        <v>74</v>
      </c>
      <c r="AZ970" t="s">
        <v>74</v>
      </c>
      <c r="BA970" t="s">
        <v>74</v>
      </c>
      <c r="BB970">
        <v>757</v>
      </c>
      <c r="BC970">
        <v>767</v>
      </c>
      <c r="BD970" t="s">
        <v>74</v>
      </c>
      <c r="BE970" t="s">
        <v>15842</v>
      </c>
      <c r="BF970" t="str">
        <f>HYPERLINK("http://dx.doi.org/10.1093/plankt/fbm056","http://dx.doi.org/10.1093/plankt/fbm056")</f>
        <v>http://dx.doi.org/10.1093/plankt/fbm056</v>
      </c>
      <c r="BG970" t="s">
        <v>74</v>
      </c>
      <c r="BH970" t="s">
        <v>74</v>
      </c>
      <c r="BI970">
        <v>11</v>
      </c>
      <c r="BJ970" t="s">
        <v>5824</v>
      </c>
      <c r="BK970" t="s">
        <v>97</v>
      </c>
      <c r="BL970" t="s">
        <v>5824</v>
      </c>
      <c r="BM970" t="s">
        <v>15843</v>
      </c>
      <c r="BN970" t="s">
        <v>74</v>
      </c>
      <c r="BO970" t="s">
        <v>179</v>
      </c>
      <c r="BP970" t="s">
        <v>74</v>
      </c>
      <c r="BQ970" t="s">
        <v>74</v>
      </c>
      <c r="BR970" t="s">
        <v>100</v>
      </c>
      <c r="BS970" t="s">
        <v>15844</v>
      </c>
      <c r="BT970" t="str">
        <f>HYPERLINK("https%3A%2F%2Fwww.webofscience.com%2Fwos%2Fwoscc%2Ffull-record%2FWOS:000249659600003","View Full Record in Web of Science")</f>
        <v>View Full Record in Web of Science</v>
      </c>
    </row>
    <row r="971" spans="1:72" x14ac:dyDescent="0.15">
      <c r="A971" t="s">
        <v>72</v>
      </c>
      <c r="B971" t="s">
        <v>15845</v>
      </c>
      <c r="C971" t="s">
        <v>74</v>
      </c>
      <c r="D971" t="s">
        <v>74</v>
      </c>
      <c r="E971" t="s">
        <v>74</v>
      </c>
      <c r="F971" t="s">
        <v>15846</v>
      </c>
      <c r="G971" t="s">
        <v>74</v>
      </c>
      <c r="H971" t="s">
        <v>74</v>
      </c>
      <c r="I971" t="s">
        <v>15847</v>
      </c>
      <c r="J971" t="s">
        <v>15848</v>
      </c>
      <c r="K971" t="s">
        <v>74</v>
      </c>
      <c r="L971" t="s">
        <v>74</v>
      </c>
      <c r="M971" t="s">
        <v>78</v>
      </c>
      <c r="N971" t="s">
        <v>79</v>
      </c>
      <c r="O971" t="s">
        <v>74</v>
      </c>
      <c r="P971" t="s">
        <v>74</v>
      </c>
      <c r="Q971" t="s">
        <v>74</v>
      </c>
      <c r="R971" t="s">
        <v>74</v>
      </c>
      <c r="S971" t="s">
        <v>74</v>
      </c>
      <c r="T971" t="s">
        <v>15849</v>
      </c>
      <c r="U971" t="s">
        <v>15850</v>
      </c>
      <c r="V971" t="s">
        <v>15851</v>
      </c>
      <c r="W971" t="s">
        <v>15852</v>
      </c>
      <c r="X971" t="s">
        <v>15853</v>
      </c>
      <c r="Y971" t="s">
        <v>15854</v>
      </c>
      <c r="Z971" t="s">
        <v>15855</v>
      </c>
      <c r="AA971" t="s">
        <v>74</v>
      </c>
      <c r="AB971" t="s">
        <v>15856</v>
      </c>
      <c r="AC971" t="s">
        <v>3298</v>
      </c>
      <c r="AD971" t="s">
        <v>444</v>
      </c>
      <c r="AE971" t="s">
        <v>74</v>
      </c>
      <c r="AF971" t="s">
        <v>74</v>
      </c>
      <c r="AG971">
        <v>67</v>
      </c>
      <c r="AH971">
        <v>82</v>
      </c>
      <c r="AI971">
        <v>84</v>
      </c>
      <c r="AJ971">
        <v>0</v>
      </c>
      <c r="AK971">
        <v>29</v>
      </c>
      <c r="AL971" t="s">
        <v>1219</v>
      </c>
      <c r="AM971" t="s">
        <v>89</v>
      </c>
      <c r="AN971" t="s">
        <v>90</v>
      </c>
      <c r="AO971" t="s">
        <v>15857</v>
      </c>
      <c r="AP971" t="s">
        <v>15858</v>
      </c>
      <c r="AQ971" t="s">
        <v>74</v>
      </c>
      <c r="AR971" t="s">
        <v>15859</v>
      </c>
      <c r="AS971" t="s">
        <v>15860</v>
      </c>
      <c r="AT971" t="s">
        <v>15012</v>
      </c>
      <c r="AU971">
        <v>2007</v>
      </c>
      <c r="AV971">
        <v>22</v>
      </c>
      <c r="AW971">
        <v>6</v>
      </c>
      <c r="AX971" t="s">
        <v>74</v>
      </c>
      <c r="AY971" t="s">
        <v>74</v>
      </c>
      <c r="AZ971" t="s">
        <v>74</v>
      </c>
      <c r="BA971" t="s">
        <v>74</v>
      </c>
      <c r="BB971">
        <v>609</v>
      </c>
      <c r="BC971">
        <v>617</v>
      </c>
      <c r="BD971" t="s">
        <v>74</v>
      </c>
      <c r="BE971" t="s">
        <v>15861</v>
      </c>
      <c r="BF971" t="str">
        <f>HYPERLINK("http://dx.doi.org/10.1002/jqs.1080","http://dx.doi.org/10.1002/jqs.1080")</f>
        <v>http://dx.doi.org/10.1002/jqs.1080</v>
      </c>
      <c r="BG971" t="s">
        <v>74</v>
      </c>
      <c r="BH971" t="s">
        <v>74</v>
      </c>
      <c r="BI971">
        <v>9</v>
      </c>
      <c r="BJ971" t="s">
        <v>2748</v>
      </c>
      <c r="BK971" t="s">
        <v>97</v>
      </c>
      <c r="BL971" t="s">
        <v>2749</v>
      </c>
      <c r="BM971" t="s">
        <v>15862</v>
      </c>
      <c r="BN971" t="s">
        <v>74</v>
      </c>
      <c r="BO971" t="s">
        <v>15863</v>
      </c>
      <c r="BP971" t="s">
        <v>74</v>
      </c>
      <c r="BQ971" t="s">
        <v>74</v>
      </c>
      <c r="BR971" t="s">
        <v>100</v>
      </c>
      <c r="BS971" t="s">
        <v>15864</v>
      </c>
      <c r="BT971" t="str">
        <f>HYPERLINK("https%3A%2F%2Fwww.webofscience.com%2Fwos%2Fwoscc%2Ffull-record%2FWOS:000249439600005","View Full Record in Web of Science")</f>
        <v>View Full Record in Web of Science</v>
      </c>
    </row>
    <row r="972" spans="1:72" x14ac:dyDescent="0.15">
      <c r="A972" t="s">
        <v>72</v>
      </c>
      <c r="B972" t="s">
        <v>15865</v>
      </c>
      <c r="C972" t="s">
        <v>74</v>
      </c>
      <c r="D972" t="s">
        <v>74</v>
      </c>
      <c r="E972" t="s">
        <v>74</v>
      </c>
      <c r="F972" t="s">
        <v>15866</v>
      </c>
      <c r="G972" t="s">
        <v>74</v>
      </c>
      <c r="H972" t="s">
        <v>74</v>
      </c>
      <c r="I972" t="s">
        <v>15867</v>
      </c>
      <c r="J972" t="s">
        <v>13974</v>
      </c>
      <c r="K972" t="s">
        <v>74</v>
      </c>
      <c r="L972" t="s">
        <v>74</v>
      </c>
      <c r="M972" t="s">
        <v>78</v>
      </c>
      <c r="N972" t="s">
        <v>79</v>
      </c>
      <c r="O972" t="s">
        <v>74</v>
      </c>
      <c r="P972" t="s">
        <v>74</v>
      </c>
      <c r="Q972" t="s">
        <v>74</v>
      </c>
      <c r="R972" t="s">
        <v>74</v>
      </c>
      <c r="S972" t="s">
        <v>74</v>
      </c>
      <c r="T972" t="s">
        <v>74</v>
      </c>
      <c r="U972" t="s">
        <v>15868</v>
      </c>
      <c r="V972" t="s">
        <v>15869</v>
      </c>
      <c r="W972" t="s">
        <v>15231</v>
      </c>
      <c r="X972" t="s">
        <v>4724</v>
      </c>
      <c r="Y972" t="s">
        <v>15870</v>
      </c>
      <c r="Z972" t="s">
        <v>15871</v>
      </c>
      <c r="AA972" t="s">
        <v>15872</v>
      </c>
      <c r="AB972" t="s">
        <v>74</v>
      </c>
      <c r="AC972" t="s">
        <v>74</v>
      </c>
      <c r="AD972" t="s">
        <v>74</v>
      </c>
      <c r="AE972" t="s">
        <v>74</v>
      </c>
      <c r="AF972" t="s">
        <v>74</v>
      </c>
      <c r="AG972">
        <v>38</v>
      </c>
      <c r="AH972">
        <v>12</v>
      </c>
      <c r="AI972">
        <v>13</v>
      </c>
      <c r="AJ972">
        <v>0</v>
      </c>
      <c r="AK972">
        <v>5</v>
      </c>
      <c r="AL972" t="s">
        <v>583</v>
      </c>
      <c r="AM972" t="s">
        <v>584</v>
      </c>
      <c r="AN972" t="s">
        <v>585</v>
      </c>
      <c r="AO972" t="s">
        <v>13983</v>
      </c>
      <c r="AP972" t="s">
        <v>13984</v>
      </c>
      <c r="AQ972" t="s">
        <v>74</v>
      </c>
      <c r="AR972" t="s">
        <v>13985</v>
      </c>
      <c r="AS972" t="s">
        <v>13986</v>
      </c>
      <c r="AT972" t="s">
        <v>15012</v>
      </c>
      <c r="AU972">
        <v>2007</v>
      </c>
      <c r="AV972">
        <v>64</v>
      </c>
      <c r="AW972">
        <v>9</v>
      </c>
      <c r="AX972" t="s">
        <v>74</v>
      </c>
      <c r="AY972" t="s">
        <v>74</v>
      </c>
      <c r="AZ972" t="s">
        <v>74</v>
      </c>
      <c r="BA972" t="s">
        <v>74</v>
      </c>
      <c r="BB972">
        <v>3113</v>
      </c>
      <c r="BC972">
        <v>3131</v>
      </c>
      <c r="BD972" t="s">
        <v>74</v>
      </c>
      <c r="BE972" t="s">
        <v>15873</v>
      </c>
      <c r="BF972" t="str">
        <f>HYPERLINK("http://dx.doi.org/10.1175/JAS4014.1","http://dx.doi.org/10.1175/JAS4014.1")</f>
        <v>http://dx.doi.org/10.1175/JAS4014.1</v>
      </c>
      <c r="BG972" t="s">
        <v>74</v>
      </c>
      <c r="BH972" t="s">
        <v>74</v>
      </c>
      <c r="BI972">
        <v>19</v>
      </c>
      <c r="BJ972" t="s">
        <v>204</v>
      </c>
      <c r="BK972" t="s">
        <v>97</v>
      </c>
      <c r="BL972" t="s">
        <v>204</v>
      </c>
      <c r="BM972" t="s">
        <v>15874</v>
      </c>
      <c r="BN972" t="s">
        <v>74</v>
      </c>
      <c r="BO972" t="s">
        <v>649</v>
      </c>
      <c r="BP972" t="s">
        <v>74</v>
      </c>
      <c r="BQ972" t="s">
        <v>74</v>
      </c>
      <c r="BR972" t="s">
        <v>100</v>
      </c>
      <c r="BS972" t="s">
        <v>15875</v>
      </c>
      <c r="BT972" t="str">
        <f>HYPERLINK("https%3A%2F%2Fwww.webofscience.com%2Fwos%2Fwoscc%2Ffull-record%2FWOS:000249455000007","View Full Record in Web of Science")</f>
        <v>View Full Record in Web of Science</v>
      </c>
    </row>
    <row r="973" spans="1:72" x14ac:dyDescent="0.15">
      <c r="A973" t="s">
        <v>72</v>
      </c>
      <c r="B973" t="s">
        <v>15876</v>
      </c>
      <c r="C973" t="s">
        <v>74</v>
      </c>
      <c r="D973" t="s">
        <v>74</v>
      </c>
      <c r="E973" t="s">
        <v>74</v>
      </c>
      <c r="F973" t="s">
        <v>15877</v>
      </c>
      <c r="G973" t="s">
        <v>74</v>
      </c>
      <c r="H973" t="s">
        <v>74</v>
      </c>
      <c r="I973" t="s">
        <v>15878</v>
      </c>
      <c r="J973" t="s">
        <v>15879</v>
      </c>
      <c r="K973" t="s">
        <v>74</v>
      </c>
      <c r="L973" t="s">
        <v>74</v>
      </c>
      <c r="M973" t="s">
        <v>78</v>
      </c>
      <c r="N973" t="s">
        <v>79</v>
      </c>
      <c r="O973" t="s">
        <v>74</v>
      </c>
      <c r="P973" t="s">
        <v>74</v>
      </c>
      <c r="Q973" t="s">
        <v>74</v>
      </c>
      <c r="R973" t="s">
        <v>74</v>
      </c>
      <c r="S973" t="s">
        <v>74</v>
      </c>
      <c r="T973" t="s">
        <v>15880</v>
      </c>
      <c r="U973" t="s">
        <v>15881</v>
      </c>
      <c r="V973" t="s">
        <v>15882</v>
      </c>
      <c r="W973" t="s">
        <v>15883</v>
      </c>
      <c r="X973" t="s">
        <v>15884</v>
      </c>
      <c r="Y973" t="s">
        <v>15885</v>
      </c>
      <c r="Z973" t="s">
        <v>15886</v>
      </c>
      <c r="AA973" t="s">
        <v>15887</v>
      </c>
      <c r="AB973" t="s">
        <v>15888</v>
      </c>
      <c r="AC973" t="s">
        <v>74</v>
      </c>
      <c r="AD973" t="s">
        <v>74</v>
      </c>
      <c r="AE973" t="s">
        <v>74</v>
      </c>
      <c r="AF973" t="s">
        <v>74</v>
      </c>
      <c r="AG973">
        <v>73</v>
      </c>
      <c r="AH973">
        <v>234</v>
      </c>
      <c r="AI973">
        <v>255</v>
      </c>
      <c r="AJ973">
        <v>0</v>
      </c>
      <c r="AK973">
        <v>25</v>
      </c>
      <c r="AL973" t="s">
        <v>265</v>
      </c>
      <c r="AM973" t="s">
        <v>266</v>
      </c>
      <c r="AN973" t="s">
        <v>267</v>
      </c>
      <c r="AO973" t="s">
        <v>15889</v>
      </c>
      <c r="AP973" t="s">
        <v>15890</v>
      </c>
      <c r="AQ973" t="s">
        <v>74</v>
      </c>
      <c r="AR973" t="s">
        <v>15879</v>
      </c>
      <c r="AS973" t="s">
        <v>15891</v>
      </c>
      <c r="AT973" t="s">
        <v>15012</v>
      </c>
      <c r="AU973">
        <v>2007</v>
      </c>
      <c r="AV973">
        <v>97</v>
      </c>
      <c r="AW973" t="s">
        <v>489</v>
      </c>
      <c r="AX973" t="s">
        <v>74</v>
      </c>
      <c r="AY973" t="s">
        <v>74</v>
      </c>
      <c r="AZ973" t="s">
        <v>74</v>
      </c>
      <c r="BA973" t="s">
        <v>74</v>
      </c>
      <c r="BB973">
        <v>373</v>
      </c>
      <c r="BC973">
        <v>394</v>
      </c>
      <c r="BD973" t="s">
        <v>74</v>
      </c>
      <c r="BE973" t="s">
        <v>15892</v>
      </c>
      <c r="BF973" t="str">
        <f>HYPERLINK("http://dx.doi.org/10.1016/j.lithos.2007.01.007","http://dx.doi.org/10.1016/j.lithos.2007.01.007")</f>
        <v>http://dx.doi.org/10.1016/j.lithos.2007.01.007</v>
      </c>
      <c r="BG973" t="s">
        <v>74</v>
      </c>
      <c r="BH973" t="s">
        <v>74</v>
      </c>
      <c r="BI973">
        <v>22</v>
      </c>
      <c r="BJ973" t="s">
        <v>15893</v>
      </c>
      <c r="BK973" t="s">
        <v>97</v>
      </c>
      <c r="BL973" t="s">
        <v>15893</v>
      </c>
      <c r="BM973" t="s">
        <v>15894</v>
      </c>
      <c r="BN973" t="s">
        <v>74</v>
      </c>
      <c r="BO973" t="s">
        <v>74</v>
      </c>
      <c r="BP973" t="s">
        <v>74</v>
      </c>
      <c r="BQ973" t="s">
        <v>74</v>
      </c>
      <c r="BR973" t="s">
        <v>100</v>
      </c>
      <c r="BS973" t="s">
        <v>15895</v>
      </c>
      <c r="BT973" t="str">
        <f>HYPERLINK("https%3A%2F%2Fwww.webofscience.com%2Fwos%2Fwoscc%2Ffull-record%2FWOS:000249490700008","View Full Record in Web of Science")</f>
        <v>View Full Record in Web of Science</v>
      </c>
    </row>
    <row r="974" spans="1:72" x14ac:dyDescent="0.15">
      <c r="A974" t="s">
        <v>72</v>
      </c>
      <c r="B974" t="s">
        <v>15896</v>
      </c>
      <c r="C974" t="s">
        <v>74</v>
      </c>
      <c r="D974" t="s">
        <v>74</v>
      </c>
      <c r="E974" t="s">
        <v>74</v>
      </c>
      <c r="F974" t="s">
        <v>15897</v>
      </c>
      <c r="G974" t="s">
        <v>74</v>
      </c>
      <c r="H974" t="s">
        <v>74</v>
      </c>
      <c r="I974" t="s">
        <v>15898</v>
      </c>
      <c r="J974" t="s">
        <v>12474</v>
      </c>
      <c r="K974" t="s">
        <v>74</v>
      </c>
      <c r="L974" t="s">
        <v>74</v>
      </c>
      <c r="M974" t="s">
        <v>78</v>
      </c>
      <c r="N974" t="s">
        <v>79</v>
      </c>
      <c r="O974" t="s">
        <v>74</v>
      </c>
      <c r="P974" t="s">
        <v>74</v>
      </c>
      <c r="Q974" t="s">
        <v>74</v>
      </c>
      <c r="R974" t="s">
        <v>74</v>
      </c>
      <c r="S974" t="s">
        <v>74</v>
      </c>
      <c r="T974" t="s">
        <v>74</v>
      </c>
      <c r="U974" t="s">
        <v>15899</v>
      </c>
      <c r="V974" t="s">
        <v>15900</v>
      </c>
      <c r="W974" t="s">
        <v>15901</v>
      </c>
      <c r="X974" t="s">
        <v>6450</v>
      </c>
      <c r="Y974" t="s">
        <v>15902</v>
      </c>
      <c r="Z974" t="s">
        <v>15903</v>
      </c>
      <c r="AA974" t="s">
        <v>15904</v>
      </c>
      <c r="AB974" t="s">
        <v>15905</v>
      </c>
      <c r="AC974" t="s">
        <v>74</v>
      </c>
      <c r="AD974" t="s">
        <v>74</v>
      </c>
      <c r="AE974" t="s">
        <v>74</v>
      </c>
      <c r="AF974" t="s">
        <v>74</v>
      </c>
      <c r="AG974">
        <v>78</v>
      </c>
      <c r="AH974">
        <v>46</v>
      </c>
      <c r="AI974">
        <v>52</v>
      </c>
      <c r="AJ974">
        <v>0</v>
      </c>
      <c r="AK974">
        <v>35</v>
      </c>
      <c r="AL974" t="s">
        <v>1240</v>
      </c>
      <c r="AM974" t="s">
        <v>1241</v>
      </c>
      <c r="AN974" t="s">
        <v>1242</v>
      </c>
      <c r="AO974" t="s">
        <v>12483</v>
      </c>
      <c r="AP974" t="s">
        <v>12499</v>
      </c>
      <c r="AQ974" t="s">
        <v>74</v>
      </c>
      <c r="AR974" t="s">
        <v>12484</v>
      </c>
      <c r="AS974" t="s">
        <v>12485</v>
      </c>
      <c r="AT974" t="s">
        <v>15012</v>
      </c>
      <c r="AU974">
        <v>2007</v>
      </c>
      <c r="AV974">
        <v>152</v>
      </c>
      <c r="AW974">
        <v>4</v>
      </c>
      <c r="AX974" t="s">
        <v>74</v>
      </c>
      <c r="AY974" t="s">
        <v>74</v>
      </c>
      <c r="AZ974" t="s">
        <v>74</v>
      </c>
      <c r="BA974" t="s">
        <v>74</v>
      </c>
      <c r="BB974">
        <v>815</v>
      </c>
      <c r="BC974">
        <v>825</v>
      </c>
      <c r="BD974" t="s">
        <v>74</v>
      </c>
      <c r="BE974" t="s">
        <v>15906</v>
      </c>
      <c r="BF974" t="str">
        <f>HYPERLINK("http://dx.doi.org/10.1007/s00227-007-0732-y","http://dx.doi.org/10.1007/s00227-007-0732-y")</f>
        <v>http://dx.doi.org/10.1007/s00227-007-0732-y</v>
      </c>
      <c r="BG974" t="s">
        <v>74</v>
      </c>
      <c r="BH974" t="s">
        <v>74</v>
      </c>
      <c r="BI974">
        <v>11</v>
      </c>
      <c r="BJ974" t="s">
        <v>2015</v>
      </c>
      <c r="BK974" t="s">
        <v>97</v>
      </c>
      <c r="BL974" t="s">
        <v>2015</v>
      </c>
      <c r="BM974" t="s">
        <v>15907</v>
      </c>
      <c r="BN974" t="s">
        <v>74</v>
      </c>
      <c r="BO974" t="s">
        <v>74</v>
      </c>
      <c r="BP974" t="s">
        <v>74</v>
      </c>
      <c r="BQ974" t="s">
        <v>74</v>
      </c>
      <c r="BR974" t="s">
        <v>100</v>
      </c>
      <c r="BS974" t="s">
        <v>15908</v>
      </c>
      <c r="BT974" t="str">
        <f>HYPERLINK("https%3A%2F%2Fwww.webofscience.com%2Fwos%2Fwoscc%2Ffull-record%2FWOS:000248912600006","View Full Record in Web of Science")</f>
        <v>View Full Record in Web of Science</v>
      </c>
    </row>
    <row r="975" spans="1:72" x14ac:dyDescent="0.15">
      <c r="A975" t="s">
        <v>72</v>
      </c>
      <c r="B975" t="s">
        <v>15909</v>
      </c>
      <c r="C975" t="s">
        <v>74</v>
      </c>
      <c r="D975" t="s">
        <v>74</v>
      </c>
      <c r="E975" t="s">
        <v>74</v>
      </c>
      <c r="F975" t="s">
        <v>15910</v>
      </c>
      <c r="G975" t="s">
        <v>74</v>
      </c>
      <c r="H975" t="s">
        <v>74</v>
      </c>
      <c r="I975" t="s">
        <v>15911</v>
      </c>
      <c r="J975" t="s">
        <v>12474</v>
      </c>
      <c r="K975" t="s">
        <v>74</v>
      </c>
      <c r="L975" t="s">
        <v>74</v>
      </c>
      <c r="M975" t="s">
        <v>78</v>
      </c>
      <c r="N975" t="s">
        <v>79</v>
      </c>
      <c r="O975" t="s">
        <v>74</v>
      </c>
      <c r="P975" t="s">
        <v>74</v>
      </c>
      <c r="Q975" t="s">
        <v>74</v>
      </c>
      <c r="R975" t="s">
        <v>74</v>
      </c>
      <c r="S975" t="s">
        <v>74</v>
      </c>
      <c r="T975" t="s">
        <v>74</v>
      </c>
      <c r="U975" t="s">
        <v>15912</v>
      </c>
      <c r="V975" t="s">
        <v>15913</v>
      </c>
      <c r="W975" t="s">
        <v>15914</v>
      </c>
      <c r="X975" t="s">
        <v>15915</v>
      </c>
      <c r="Y975" t="s">
        <v>15916</v>
      </c>
      <c r="Z975" t="s">
        <v>15917</v>
      </c>
      <c r="AA975" t="s">
        <v>15918</v>
      </c>
      <c r="AB975" t="s">
        <v>15919</v>
      </c>
      <c r="AC975" t="s">
        <v>74</v>
      </c>
      <c r="AD975" t="s">
        <v>74</v>
      </c>
      <c r="AE975" t="s">
        <v>74</v>
      </c>
      <c r="AF975" t="s">
        <v>74</v>
      </c>
      <c r="AG975">
        <v>69</v>
      </c>
      <c r="AH975">
        <v>119</v>
      </c>
      <c r="AI975">
        <v>130</v>
      </c>
      <c r="AJ975">
        <v>1</v>
      </c>
      <c r="AK975">
        <v>28</v>
      </c>
      <c r="AL975" t="s">
        <v>1265</v>
      </c>
      <c r="AM975" t="s">
        <v>662</v>
      </c>
      <c r="AN975" t="s">
        <v>7409</v>
      </c>
      <c r="AO975" t="s">
        <v>12483</v>
      </c>
      <c r="AP975" t="s">
        <v>74</v>
      </c>
      <c r="AQ975" t="s">
        <v>74</v>
      </c>
      <c r="AR975" t="s">
        <v>12484</v>
      </c>
      <c r="AS975" t="s">
        <v>12485</v>
      </c>
      <c r="AT975" t="s">
        <v>15012</v>
      </c>
      <c r="AU975">
        <v>2007</v>
      </c>
      <c r="AV975">
        <v>152</v>
      </c>
      <c r="AW975">
        <v>4</v>
      </c>
      <c r="AX975" t="s">
        <v>74</v>
      </c>
      <c r="AY975" t="s">
        <v>74</v>
      </c>
      <c r="AZ975" t="s">
        <v>74</v>
      </c>
      <c r="BA975" t="s">
        <v>74</v>
      </c>
      <c r="BB975">
        <v>895</v>
      </c>
      <c r="BC975">
        <v>904</v>
      </c>
      <c r="BD975" t="s">
        <v>74</v>
      </c>
      <c r="BE975" t="s">
        <v>15920</v>
      </c>
      <c r="BF975" t="str">
        <f>HYPERLINK("http://dx.doi.org/10.1007/s00227-007-0742-9","http://dx.doi.org/10.1007/s00227-007-0742-9")</f>
        <v>http://dx.doi.org/10.1007/s00227-007-0742-9</v>
      </c>
      <c r="BG975" t="s">
        <v>74</v>
      </c>
      <c r="BH975" t="s">
        <v>74</v>
      </c>
      <c r="BI975">
        <v>10</v>
      </c>
      <c r="BJ975" t="s">
        <v>2015</v>
      </c>
      <c r="BK975" t="s">
        <v>97</v>
      </c>
      <c r="BL975" t="s">
        <v>2015</v>
      </c>
      <c r="BM975" t="s">
        <v>15907</v>
      </c>
      <c r="BN975" t="s">
        <v>74</v>
      </c>
      <c r="BO975" t="s">
        <v>74</v>
      </c>
      <c r="BP975" t="s">
        <v>74</v>
      </c>
      <c r="BQ975" t="s">
        <v>74</v>
      </c>
      <c r="BR975" t="s">
        <v>100</v>
      </c>
      <c r="BS975" t="s">
        <v>15921</v>
      </c>
      <c r="BT975" t="str">
        <f>HYPERLINK("https%3A%2F%2Fwww.webofscience.com%2Fwos%2Fwoscc%2Ffull-record%2FWOS:000248912600013","View Full Record in Web of Science")</f>
        <v>View Full Record in Web of Science</v>
      </c>
    </row>
    <row r="976" spans="1:72" x14ac:dyDescent="0.15">
      <c r="A976" t="s">
        <v>72</v>
      </c>
      <c r="B976" t="s">
        <v>15922</v>
      </c>
      <c r="C976" t="s">
        <v>74</v>
      </c>
      <c r="D976" t="s">
        <v>74</v>
      </c>
      <c r="E976" t="s">
        <v>74</v>
      </c>
      <c r="F976" t="s">
        <v>15923</v>
      </c>
      <c r="G976" t="s">
        <v>74</v>
      </c>
      <c r="H976" t="s">
        <v>74</v>
      </c>
      <c r="I976" t="s">
        <v>15924</v>
      </c>
      <c r="J976" t="s">
        <v>15925</v>
      </c>
      <c r="K976" t="s">
        <v>74</v>
      </c>
      <c r="L976" t="s">
        <v>74</v>
      </c>
      <c r="M976" t="s">
        <v>78</v>
      </c>
      <c r="N976" t="s">
        <v>79</v>
      </c>
      <c r="O976" t="s">
        <v>74</v>
      </c>
      <c r="P976" t="s">
        <v>74</v>
      </c>
      <c r="Q976" t="s">
        <v>74</v>
      </c>
      <c r="R976" t="s">
        <v>74</v>
      </c>
      <c r="S976" t="s">
        <v>74</v>
      </c>
      <c r="T976" t="s">
        <v>15926</v>
      </c>
      <c r="U976" t="s">
        <v>15927</v>
      </c>
      <c r="V976" t="s">
        <v>15928</v>
      </c>
      <c r="W976" t="s">
        <v>15929</v>
      </c>
      <c r="X976" t="s">
        <v>15930</v>
      </c>
      <c r="Y976" t="s">
        <v>15931</v>
      </c>
      <c r="Z976" t="s">
        <v>15932</v>
      </c>
      <c r="AA976" t="s">
        <v>74</v>
      </c>
      <c r="AB976" t="s">
        <v>2006</v>
      </c>
      <c r="AC976" t="s">
        <v>15933</v>
      </c>
      <c r="AD976" t="s">
        <v>242</v>
      </c>
      <c r="AE976" t="s">
        <v>74</v>
      </c>
      <c r="AF976" t="s">
        <v>74</v>
      </c>
      <c r="AG976">
        <v>49</v>
      </c>
      <c r="AH976">
        <v>23</v>
      </c>
      <c r="AI976">
        <v>25</v>
      </c>
      <c r="AJ976">
        <v>0</v>
      </c>
      <c r="AK976">
        <v>11</v>
      </c>
      <c r="AL976" t="s">
        <v>1400</v>
      </c>
      <c r="AM976" t="s">
        <v>522</v>
      </c>
      <c r="AN976" t="s">
        <v>1401</v>
      </c>
      <c r="AO976" t="s">
        <v>15934</v>
      </c>
      <c r="AP976" t="s">
        <v>15935</v>
      </c>
      <c r="AQ976" t="s">
        <v>74</v>
      </c>
      <c r="AR976" t="s">
        <v>15936</v>
      </c>
      <c r="AS976" t="s">
        <v>15937</v>
      </c>
      <c r="AT976" t="s">
        <v>15012</v>
      </c>
      <c r="AU976">
        <v>2007</v>
      </c>
      <c r="AV976">
        <v>64</v>
      </c>
      <c r="AW976">
        <v>3</v>
      </c>
      <c r="AX976" t="s">
        <v>74</v>
      </c>
      <c r="AY976" t="s">
        <v>74</v>
      </c>
      <c r="AZ976" t="s">
        <v>74</v>
      </c>
      <c r="BA976" t="s">
        <v>74</v>
      </c>
      <c r="BB976">
        <v>267</v>
      </c>
      <c r="BC976">
        <v>285</v>
      </c>
      <c r="BD976" t="s">
        <v>74</v>
      </c>
      <c r="BE976" t="s">
        <v>15938</v>
      </c>
      <c r="BF976" t="str">
        <f>HYPERLINK("http://dx.doi.org/10.1016/j.marenvres.2007.02.001","http://dx.doi.org/10.1016/j.marenvres.2007.02.001")</f>
        <v>http://dx.doi.org/10.1016/j.marenvres.2007.02.001</v>
      </c>
      <c r="BG976" t="s">
        <v>74</v>
      </c>
      <c r="BH976" t="s">
        <v>74</v>
      </c>
      <c r="BI976">
        <v>19</v>
      </c>
      <c r="BJ976" t="s">
        <v>15939</v>
      </c>
      <c r="BK976" t="s">
        <v>97</v>
      </c>
      <c r="BL976" t="s">
        <v>15940</v>
      </c>
      <c r="BM976" t="s">
        <v>15941</v>
      </c>
      <c r="BN976">
        <v>17379298</v>
      </c>
      <c r="BO976" t="s">
        <v>4634</v>
      </c>
      <c r="BP976" t="s">
        <v>74</v>
      </c>
      <c r="BQ976" t="s">
        <v>74</v>
      </c>
      <c r="BR976" t="s">
        <v>100</v>
      </c>
      <c r="BS976" t="s">
        <v>15942</v>
      </c>
      <c r="BT976" t="str">
        <f>HYPERLINK("https%3A%2F%2Fwww.webofscience.com%2Fwos%2Fwoscc%2Ffull-record%2FWOS:000249147000002","View Full Record in Web of Science")</f>
        <v>View Full Record in Web of Science</v>
      </c>
    </row>
    <row r="977" spans="1:72" x14ac:dyDescent="0.15">
      <c r="A977" t="s">
        <v>72</v>
      </c>
      <c r="B977" t="s">
        <v>15943</v>
      </c>
      <c r="C977" t="s">
        <v>74</v>
      </c>
      <c r="D977" t="s">
        <v>74</v>
      </c>
      <c r="E977" t="s">
        <v>74</v>
      </c>
      <c r="F977" t="s">
        <v>15944</v>
      </c>
      <c r="G977" t="s">
        <v>74</v>
      </c>
      <c r="H977" t="s">
        <v>74</v>
      </c>
      <c r="I977" t="s">
        <v>15945</v>
      </c>
      <c r="J977" t="s">
        <v>6596</v>
      </c>
      <c r="K977" t="s">
        <v>74</v>
      </c>
      <c r="L977" t="s">
        <v>74</v>
      </c>
      <c r="M977" t="s">
        <v>78</v>
      </c>
      <c r="N977" t="s">
        <v>79</v>
      </c>
      <c r="O977" t="s">
        <v>74</v>
      </c>
      <c r="P977" t="s">
        <v>74</v>
      </c>
      <c r="Q977" t="s">
        <v>74</v>
      </c>
      <c r="R977" t="s">
        <v>74</v>
      </c>
      <c r="S977" t="s">
        <v>74</v>
      </c>
      <c r="T977" t="s">
        <v>15946</v>
      </c>
      <c r="U977" t="s">
        <v>15947</v>
      </c>
      <c r="V977" t="s">
        <v>15948</v>
      </c>
      <c r="W977" t="s">
        <v>15949</v>
      </c>
      <c r="X977" t="s">
        <v>15950</v>
      </c>
      <c r="Y977" t="s">
        <v>15951</v>
      </c>
      <c r="Z977" t="s">
        <v>15952</v>
      </c>
      <c r="AA977" t="s">
        <v>74</v>
      </c>
      <c r="AB977" t="s">
        <v>74</v>
      </c>
      <c r="AC977" t="s">
        <v>74</v>
      </c>
      <c r="AD977" t="s">
        <v>74</v>
      </c>
      <c r="AE977" t="s">
        <v>74</v>
      </c>
      <c r="AF977" t="s">
        <v>74</v>
      </c>
      <c r="AG977">
        <v>27</v>
      </c>
      <c r="AH977">
        <v>8</v>
      </c>
      <c r="AI977">
        <v>8</v>
      </c>
      <c r="AJ977">
        <v>0</v>
      </c>
      <c r="AK977">
        <v>9</v>
      </c>
      <c r="AL977" t="s">
        <v>1265</v>
      </c>
      <c r="AM977" t="s">
        <v>1317</v>
      </c>
      <c r="AN977" t="s">
        <v>2701</v>
      </c>
      <c r="AO977" t="s">
        <v>6605</v>
      </c>
      <c r="AP977" t="s">
        <v>6606</v>
      </c>
      <c r="AQ977" t="s">
        <v>74</v>
      </c>
      <c r="AR977" t="s">
        <v>6607</v>
      </c>
      <c r="AS977" t="s">
        <v>6608</v>
      </c>
      <c r="AT977" t="s">
        <v>15012</v>
      </c>
      <c r="AU977">
        <v>2007</v>
      </c>
      <c r="AV977">
        <v>28</v>
      </c>
      <c r="AW977">
        <v>3</v>
      </c>
      <c r="AX977" t="s">
        <v>74</v>
      </c>
      <c r="AY977" t="s">
        <v>74</v>
      </c>
      <c r="AZ977" t="s">
        <v>74</v>
      </c>
      <c r="BA977" t="s">
        <v>74</v>
      </c>
      <c r="BB977">
        <v>191</v>
      </c>
      <c r="BC977">
        <v>199</v>
      </c>
      <c r="BD977" t="s">
        <v>74</v>
      </c>
      <c r="BE977" t="s">
        <v>15953</v>
      </c>
      <c r="BF977" t="str">
        <f>HYPERLINK("http://dx.doi.org/10.1007/s11001-007-9026-5","http://dx.doi.org/10.1007/s11001-007-9026-5")</f>
        <v>http://dx.doi.org/10.1007/s11001-007-9026-5</v>
      </c>
      <c r="BG977" t="s">
        <v>74</v>
      </c>
      <c r="BH977" t="s">
        <v>74</v>
      </c>
      <c r="BI977">
        <v>9</v>
      </c>
      <c r="BJ977" t="s">
        <v>6610</v>
      </c>
      <c r="BK977" t="s">
        <v>97</v>
      </c>
      <c r="BL977" t="s">
        <v>6610</v>
      </c>
      <c r="BM977" t="s">
        <v>15954</v>
      </c>
      <c r="BN977" t="s">
        <v>74</v>
      </c>
      <c r="BO977" t="s">
        <v>74</v>
      </c>
      <c r="BP977" t="s">
        <v>74</v>
      </c>
      <c r="BQ977" t="s">
        <v>74</v>
      </c>
      <c r="BR977" t="s">
        <v>100</v>
      </c>
      <c r="BS977" t="s">
        <v>15955</v>
      </c>
      <c r="BT977" t="str">
        <f>HYPERLINK("https%3A%2F%2Fwww.webofscience.com%2Fwos%2Fwoscc%2Ffull-record%2FWOS:000249627900002","View Full Record in Web of Science")</f>
        <v>View Full Record in Web of Science</v>
      </c>
    </row>
    <row r="978" spans="1:72" x14ac:dyDescent="0.15">
      <c r="A978" t="s">
        <v>72</v>
      </c>
      <c r="B978" t="s">
        <v>15956</v>
      </c>
      <c r="C978" t="s">
        <v>74</v>
      </c>
      <c r="D978" t="s">
        <v>74</v>
      </c>
      <c r="E978" t="s">
        <v>74</v>
      </c>
      <c r="F978" t="s">
        <v>15957</v>
      </c>
      <c r="G978" t="s">
        <v>74</v>
      </c>
      <c r="H978" t="s">
        <v>74</v>
      </c>
      <c r="I978" t="s">
        <v>15958</v>
      </c>
      <c r="J978" t="s">
        <v>12506</v>
      </c>
      <c r="K978" t="s">
        <v>74</v>
      </c>
      <c r="L978" t="s">
        <v>74</v>
      </c>
      <c r="M978" t="s">
        <v>78</v>
      </c>
      <c r="N978" t="s">
        <v>79</v>
      </c>
      <c r="O978" t="s">
        <v>74</v>
      </c>
      <c r="P978" t="s">
        <v>74</v>
      </c>
      <c r="Q978" t="s">
        <v>74</v>
      </c>
      <c r="R978" t="s">
        <v>74</v>
      </c>
      <c r="S978" t="s">
        <v>74</v>
      </c>
      <c r="T978" t="s">
        <v>15959</v>
      </c>
      <c r="U978" t="s">
        <v>15960</v>
      </c>
      <c r="V978" t="s">
        <v>15961</v>
      </c>
      <c r="W978" t="s">
        <v>15962</v>
      </c>
      <c r="X978" t="s">
        <v>15963</v>
      </c>
      <c r="Y978" t="s">
        <v>15964</v>
      </c>
      <c r="Z978" t="s">
        <v>15965</v>
      </c>
      <c r="AA978" t="s">
        <v>15966</v>
      </c>
      <c r="AB978" t="s">
        <v>15967</v>
      </c>
      <c r="AC978" t="s">
        <v>74</v>
      </c>
      <c r="AD978" t="s">
        <v>74</v>
      </c>
      <c r="AE978" t="s">
        <v>74</v>
      </c>
      <c r="AF978" t="s">
        <v>74</v>
      </c>
      <c r="AG978">
        <v>25</v>
      </c>
      <c r="AH978">
        <v>22</v>
      </c>
      <c r="AI978">
        <v>23</v>
      </c>
      <c r="AJ978">
        <v>1</v>
      </c>
      <c r="AK978">
        <v>36</v>
      </c>
      <c r="AL978" t="s">
        <v>521</v>
      </c>
      <c r="AM978" t="s">
        <v>522</v>
      </c>
      <c r="AN978" t="s">
        <v>523</v>
      </c>
      <c r="AO978" t="s">
        <v>12513</v>
      </c>
      <c r="AP978" t="s">
        <v>12514</v>
      </c>
      <c r="AQ978" t="s">
        <v>74</v>
      </c>
      <c r="AR978" t="s">
        <v>12515</v>
      </c>
      <c r="AS978" t="s">
        <v>12516</v>
      </c>
      <c r="AT978" t="s">
        <v>15012</v>
      </c>
      <c r="AU978">
        <v>2007</v>
      </c>
      <c r="AV978">
        <v>54</v>
      </c>
      <c r="AW978">
        <v>9</v>
      </c>
      <c r="AX978" t="s">
        <v>74</v>
      </c>
      <c r="AY978" t="s">
        <v>74</v>
      </c>
      <c r="AZ978" t="s">
        <v>74</v>
      </c>
      <c r="BA978" t="s">
        <v>74</v>
      </c>
      <c r="BB978">
        <v>1427</v>
      </c>
      <c r="BC978">
        <v>1433</v>
      </c>
      <c r="BD978" t="s">
        <v>74</v>
      </c>
      <c r="BE978" t="s">
        <v>15968</v>
      </c>
      <c r="BF978" t="str">
        <f>HYPERLINK("http://dx.doi.org/10.1016/j.marpolbul.2007.05.023","http://dx.doi.org/10.1016/j.marpolbul.2007.05.023")</f>
        <v>http://dx.doi.org/10.1016/j.marpolbul.2007.05.023</v>
      </c>
      <c r="BG978" t="s">
        <v>74</v>
      </c>
      <c r="BH978" t="s">
        <v>74</v>
      </c>
      <c r="BI978">
        <v>7</v>
      </c>
      <c r="BJ978" t="s">
        <v>12518</v>
      </c>
      <c r="BK978" t="s">
        <v>97</v>
      </c>
      <c r="BL978" t="s">
        <v>790</v>
      </c>
      <c r="BM978" t="s">
        <v>15969</v>
      </c>
      <c r="BN978">
        <v>17632183</v>
      </c>
      <c r="BO978" t="s">
        <v>74</v>
      </c>
      <c r="BP978" t="s">
        <v>74</v>
      </c>
      <c r="BQ978" t="s">
        <v>74</v>
      </c>
      <c r="BR978" t="s">
        <v>100</v>
      </c>
      <c r="BS978" t="s">
        <v>15970</v>
      </c>
      <c r="BT978" t="str">
        <f>HYPERLINK("https%3A%2F%2Fwww.webofscience.com%2Fwos%2Fwoscc%2Ffull-record%2FWOS:000250013900024","View Full Record in Web of Science")</f>
        <v>View Full Record in Web of Science</v>
      </c>
    </row>
    <row r="979" spans="1:72" x14ac:dyDescent="0.15">
      <c r="A979" t="s">
        <v>72</v>
      </c>
      <c r="B979" t="s">
        <v>15971</v>
      </c>
      <c r="C979" t="s">
        <v>74</v>
      </c>
      <c r="D979" t="s">
        <v>74</v>
      </c>
      <c r="E979" t="s">
        <v>74</v>
      </c>
      <c r="F979" t="s">
        <v>15972</v>
      </c>
      <c r="G979" t="s">
        <v>74</v>
      </c>
      <c r="H979" t="s">
        <v>74</v>
      </c>
      <c r="I979" t="s">
        <v>15973</v>
      </c>
      <c r="J979" t="s">
        <v>10584</v>
      </c>
      <c r="K979" t="s">
        <v>74</v>
      </c>
      <c r="L979" t="s">
        <v>74</v>
      </c>
      <c r="M979" t="s">
        <v>78</v>
      </c>
      <c r="N979" t="s">
        <v>79</v>
      </c>
      <c r="O979" t="s">
        <v>74</v>
      </c>
      <c r="P979" t="s">
        <v>74</v>
      </c>
      <c r="Q979" t="s">
        <v>74</v>
      </c>
      <c r="R979" t="s">
        <v>74</v>
      </c>
      <c r="S979" t="s">
        <v>74</v>
      </c>
      <c r="T979" t="s">
        <v>74</v>
      </c>
      <c r="U979" t="s">
        <v>15974</v>
      </c>
      <c r="V979" t="s">
        <v>15975</v>
      </c>
      <c r="W979" t="s">
        <v>15976</v>
      </c>
      <c r="X979" t="s">
        <v>15977</v>
      </c>
      <c r="Y979" t="s">
        <v>15978</v>
      </c>
      <c r="Z979" t="s">
        <v>15979</v>
      </c>
      <c r="AA979" t="s">
        <v>15980</v>
      </c>
      <c r="AB979" t="s">
        <v>15981</v>
      </c>
      <c r="AC979" t="s">
        <v>74</v>
      </c>
      <c r="AD979" t="s">
        <v>74</v>
      </c>
      <c r="AE979" t="s">
        <v>74</v>
      </c>
      <c r="AF979" t="s">
        <v>74</v>
      </c>
      <c r="AG979">
        <v>6</v>
      </c>
      <c r="AH979">
        <v>50</v>
      </c>
      <c r="AI979">
        <v>55</v>
      </c>
      <c r="AJ979">
        <v>1</v>
      </c>
      <c r="AK979">
        <v>4</v>
      </c>
      <c r="AL979" t="s">
        <v>1219</v>
      </c>
      <c r="AM979" t="s">
        <v>89</v>
      </c>
      <c r="AN979" t="s">
        <v>90</v>
      </c>
      <c r="AO979" t="s">
        <v>10593</v>
      </c>
      <c r="AP979" t="s">
        <v>14057</v>
      </c>
      <c r="AQ979" t="s">
        <v>74</v>
      </c>
      <c r="AR979" t="s">
        <v>10594</v>
      </c>
      <c r="AS979" t="s">
        <v>10595</v>
      </c>
      <c r="AT979" t="s">
        <v>15012</v>
      </c>
      <c r="AU979">
        <v>2007</v>
      </c>
      <c r="AV979">
        <v>42</v>
      </c>
      <c r="AW979">
        <v>9</v>
      </c>
      <c r="AX979" t="s">
        <v>74</v>
      </c>
      <c r="AY979" t="s">
        <v>74</v>
      </c>
      <c r="AZ979" t="s">
        <v>74</v>
      </c>
      <c r="BA979" t="s">
        <v>74</v>
      </c>
      <c r="BB979">
        <v>1647</v>
      </c>
      <c r="BC979">
        <v>1694</v>
      </c>
      <c r="BD979" t="s">
        <v>74</v>
      </c>
      <c r="BE979" t="s">
        <v>15982</v>
      </c>
      <c r="BF979" t="str">
        <f>HYPERLINK("http://dx.doi.org/10.1111/j.1945-5100.2007.tb00596.x","http://dx.doi.org/10.1111/j.1945-5100.2007.tb00596.x")</f>
        <v>http://dx.doi.org/10.1111/j.1945-5100.2007.tb00596.x</v>
      </c>
      <c r="BG979" t="s">
        <v>74</v>
      </c>
      <c r="BH979" t="s">
        <v>74</v>
      </c>
      <c r="BI979">
        <v>48</v>
      </c>
      <c r="BJ979" t="s">
        <v>553</v>
      </c>
      <c r="BK979" t="s">
        <v>97</v>
      </c>
      <c r="BL979" t="s">
        <v>553</v>
      </c>
      <c r="BM979" t="s">
        <v>15983</v>
      </c>
      <c r="BN979" t="s">
        <v>74</v>
      </c>
      <c r="BO979" t="s">
        <v>179</v>
      </c>
      <c r="BP979" t="s">
        <v>74</v>
      </c>
      <c r="BQ979" t="s">
        <v>74</v>
      </c>
      <c r="BR979" t="s">
        <v>100</v>
      </c>
      <c r="BS979" t="s">
        <v>15984</v>
      </c>
      <c r="BT979" t="str">
        <f>HYPERLINK("https%3A%2F%2Fwww.webofscience.com%2Fwos%2Fwoscc%2Ffull-record%2FWOS:000251868900012","View Full Record in Web of Science")</f>
        <v>View Full Record in Web of Science</v>
      </c>
    </row>
    <row r="980" spans="1:72" x14ac:dyDescent="0.15">
      <c r="A980" t="s">
        <v>72</v>
      </c>
      <c r="B980" t="s">
        <v>15985</v>
      </c>
      <c r="C980" t="s">
        <v>74</v>
      </c>
      <c r="D980" t="s">
        <v>74</v>
      </c>
      <c r="E980" t="s">
        <v>74</v>
      </c>
      <c r="F980" t="s">
        <v>15986</v>
      </c>
      <c r="G980" t="s">
        <v>74</v>
      </c>
      <c r="H980" t="s">
        <v>74</v>
      </c>
      <c r="I980" t="s">
        <v>15987</v>
      </c>
      <c r="J980" t="s">
        <v>15988</v>
      </c>
      <c r="K980" t="s">
        <v>74</v>
      </c>
      <c r="L980" t="s">
        <v>74</v>
      </c>
      <c r="M980" t="s">
        <v>78</v>
      </c>
      <c r="N980" t="s">
        <v>79</v>
      </c>
      <c r="O980" t="s">
        <v>74</v>
      </c>
      <c r="P980" t="s">
        <v>74</v>
      </c>
      <c r="Q980" t="s">
        <v>74</v>
      </c>
      <c r="R980" t="s">
        <v>74</v>
      </c>
      <c r="S980" t="s">
        <v>74</v>
      </c>
      <c r="T980" t="s">
        <v>74</v>
      </c>
      <c r="U980" t="s">
        <v>15989</v>
      </c>
      <c r="V980" t="s">
        <v>74</v>
      </c>
      <c r="W980" t="s">
        <v>15990</v>
      </c>
      <c r="X980" t="s">
        <v>1068</v>
      </c>
      <c r="Y980" t="s">
        <v>15991</v>
      </c>
      <c r="Z980" t="s">
        <v>15992</v>
      </c>
      <c r="AA980" t="s">
        <v>15993</v>
      </c>
      <c r="AB980" t="s">
        <v>74</v>
      </c>
      <c r="AC980" t="s">
        <v>74</v>
      </c>
      <c r="AD980" t="s">
        <v>74</v>
      </c>
      <c r="AE980" t="s">
        <v>74</v>
      </c>
      <c r="AF980" t="s">
        <v>74</v>
      </c>
      <c r="AG980">
        <v>46</v>
      </c>
      <c r="AH980">
        <v>5</v>
      </c>
      <c r="AI980">
        <v>5</v>
      </c>
      <c r="AJ980">
        <v>0</v>
      </c>
      <c r="AK980">
        <v>0</v>
      </c>
      <c r="AL980" t="s">
        <v>4017</v>
      </c>
      <c r="AM980" t="s">
        <v>4018</v>
      </c>
      <c r="AN980" t="s">
        <v>4019</v>
      </c>
      <c r="AO980" t="s">
        <v>15994</v>
      </c>
      <c r="AP980" t="s">
        <v>15995</v>
      </c>
      <c r="AQ980" t="s">
        <v>74</v>
      </c>
      <c r="AR980" t="s">
        <v>15996</v>
      </c>
      <c r="AS980" t="s">
        <v>15997</v>
      </c>
      <c r="AT980" t="s">
        <v>15012</v>
      </c>
      <c r="AU980">
        <v>2007</v>
      </c>
      <c r="AV980">
        <v>28</v>
      </c>
      <c r="AW980">
        <v>3</v>
      </c>
      <c r="AX980" t="s">
        <v>74</v>
      </c>
      <c r="AY980" t="s">
        <v>74</v>
      </c>
      <c r="AZ980" t="s">
        <v>74</v>
      </c>
      <c r="BA980" t="s">
        <v>74</v>
      </c>
      <c r="BB980">
        <v>98</v>
      </c>
      <c r="BC980">
        <v>103</v>
      </c>
      <c r="BD980" t="s">
        <v>74</v>
      </c>
      <c r="BE980" t="s">
        <v>74</v>
      </c>
      <c r="BF980" t="s">
        <v>74</v>
      </c>
      <c r="BG980" t="s">
        <v>74</v>
      </c>
      <c r="BH980" t="s">
        <v>74</v>
      </c>
      <c r="BI980">
        <v>6</v>
      </c>
      <c r="BJ980" t="s">
        <v>4198</v>
      </c>
      <c r="BK980" t="s">
        <v>2166</v>
      </c>
      <c r="BL980" t="s">
        <v>4198</v>
      </c>
      <c r="BM980" t="s">
        <v>15998</v>
      </c>
      <c r="BN980" t="s">
        <v>74</v>
      </c>
      <c r="BO980" t="s">
        <v>74</v>
      </c>
      <c r="BP980" t="s">
        <v>74</v>
      </c>
      <c r="BQ980" t="s">
        <v>74</v>
      </c>
      <c r="BR980" t="s">
        <v>100</v>
      </c>
      <c r="BS980" t="s">
        <v>15999</v>
      </c>
      <c r="BT980" t="str">
        <f>HYPERLINK("https%3A%2F%2Fwww.webofscience.com%2Fwos%2Fwoscc%2Ffull-record%2FWOS:000216252300003","View Full Record in Web of Science")</f>
        <v>View Full Record in Web of Science</v>
      </c>
    </row>
    <row r="981" spans="1:72" x14ac:dyDescent="0.15">
      <c r="A981" t="s">
        <v>72</v>
      </c>
      <c r="B981" t="s">
        <v>16000</v>
      </c>
      <c r="C981" t="s">
        <v>74</v>
      </c>
      <c r="D981" t="s">
        <v>74</v>
      </c>
      <c r="E981" t="s">
        <v>74</v>
      </c>
      <c r="F981" t="s">
        <v>16001</v>
      </c>
      <c r="G981" t="s">
        <v>74</v>
      </c>
      <c r="H981" t="s">
        <v>74</v>
      </c>
      <c r="I981" t="s">
        <v>16002</v>
      </c>
      <c r="J981" t="s">
        <v>16003</v>
      </c>
      <c r="K981" t="s">
        <v>74</v>
      </c>
      <c r="L981" t="s">
        <v>74</v>
      </c>
      <c r="M981" t="s">
        <v>78</v>
      </c>
      <c r="N981" t="s">
        <v>79</v>
      </c>
      <c r="O981" t="s">
        <v>74</v>
      </c>
      <c r="P981" t="s">
        <v>74</v>
      </c>
      <c r="Q981" t="s">
        <v>74</v>
      </c>
      <c r="R981" t="s">
        <v>74</v>
      </c>
      <c r="S981" t="s">
        <v>74</v>
      </c>
      <c r="T981" t="s">
        <v>16004</v>
      </c>
      <c r="U981" t="s">
        <v>74</v>
      </c>
      <c r="V981" t="s">
        <v>16005</v>
      </c>
      <c r="W981" t="s">
        <v>16006</v>
      </c>
      <c r="X981" t="s">
        <v>16007</v>
      </c>
      <c r="Y981" t="s">
        <v>16008</v>
      </c>
      <c r="Z981" t="s">
        <v>12338</v>
      </c>
      <c r="AA981" t="s">
        <v>16009</v>
      </c>
      <c r="AB981" t="s">
        <v>16010</v>
      </c>
      <c r="AC981" t="s">
        <v>74</v>
      </c>
      <c r="AD981" t="s">
        <v>74</v>
      </c>
      <c r="AE981" t="s">
        <v>74</v>
      </c>
      <c r="AF981" t="s">
        <v>74</v>
      </c>
      <c r="AG981">
        <v>7</v>
      </c>
      <c r="AH981">
        <v>9</v>
      </c>
      <c r="AI981">
        <v>9</v>
      </c>
      <c r="AJ981">
        <v>0</v>
      </c>
      <c r="AK981">
        <v>1</v>
      </c>
      <c r="AL981" t="s">
        <v>6640</v>
      </c>
      <c r="AM981" t="s">
        <v>522</v>
      </c>
      <c r="AN981" t="s">
        <v>6641</v>
      </c>
      <c r="AO981" t="s">
        <v>16011</v>
      </c>
      <c r="AP981" t="s">
        <v>74</v>
      </c>
      <c r="AQ981" t="s">
        <v>74</v>
      </c>
      <c r="AR981" t="s">
        <v>16012</v>
      </c>
      <c r="AS981" t="s">
        <v>16013</v>
      </c>
      <c r="AT981" t="s">
        <v>15012</v>
      </c>
      <c r="AU981">
        <v>2007</v>
      </c>
      <c r="AV981">
        <v>7</v>
      </c>
      <c r="AW981">
        <v>5</v>
      </c>
      <c r="AX981" t="s">
        <v>74</v>
      </c>
      <c r="AY981" t="s">
        <v>74</v>
      </c>
      <c r="AZ981" t="s">
        <v>74</v>
      </c>
      <c r="BA981" t="s">
        <v>74</v>
      </c>
      <c r="BB981">
        <v>791</v>
      </c>
      <c r="BC981">
        <v>793</v>
      </c>
      <c r="BD981" t="s">
        <v>74</v>
      </c>
      <c r="BE981" t="s">
        <v>16014</v>
      </c>
      <c r="BF981" t="str">
        <f>HYPERLINK("http://dx.doi.org/10.1111/j.1471-8286.2007.01703.x","http://dx.doi.org/10.1111/j.1471-8286.2007.01703.x")</f>
        <v>http://dx.doi.org/10.1111/j.1471-8286.2007.01703.x</v>
      </c>
      <c r="BG981" t="s">
        <v>74</v>
      </c>
      <c r="BH981" t="s">
        <v>74</v>
      </c>
      <c r="BI981">
        <v>3</v>
      </c>
      <c r="BJ981" t="s">
        <v>10615</v>
      </c>
      <c r="BK981" t="s">
        <v>97</v>
      </c>
      <c r="BL981" t="s">
        <v>10616</v>
      </c>
      <c r="BM981" t="s">
        <v>16015</v>
      </c>
      <c r="BN981" t="s">
        <v>74</v>
      </c>
      <c r="BO981" t="s">
        <v>74</v>
      </c>
      <c r="BP981" t="s">
        <v>74</v>
      </c>
      <c r="BQ981" t="s">
        <v>74</v>
      </c>
      <c r="BR981" t="s">
        <v>100</v>
      </c>
      <c r="BS981" t="s">
        <v>16016</v>
      </c>
      <c r="BT981" t="str">
        <f>HYPERLINK("https%3A%2F%2Fwww.webofscience.com%2Fwos%2Fwoscc%2Ffull-record%2FWOS:000249193000014","View Full Record in Web of Science")</f>
        <v>View Full Record in Web of Science</v>
      </c>
    </row>
    <row r="982" spans="1:72" x14ac:dyDescent="0.15">
      <c r="A982" t="s">
        <v>72</v>
      </c>
      <c r="B982" t="s">
        <v>16017</v>
      </c>
      <c r="C982" t="s">
        <v>74</v>
      </c>
      <c r="D982" t="s">
        <v>74</v>
      </c>
      <c r="E982" t="s">
        <v>74</v>
      </c>
      <c r="F982" t="s">
        <v>16018</v>
      </c>
      <c r="G982" t="s">
        <v>74</v>
      </c>
      <c r="H982" t="s">
        <v>74</v>
      </c>
      <c r="I982" t="s">
        <v>16019</v>
      </c>
      <c r="J982" t="s">
        <v>6788</v>
      </c>
      <c r="K982" t="s">
        <v>74</v>
      </c>
      <c r="L982" t="s">
        <v>74</v>
      </c>
      <c r="M982" t="s">
        <v>78</v>
      </c>
      <c r="N982" t="s">
        <v>79</v>
      </c>
      <c r="O982" t="s">
        <v>74</v>
      </c>
      <c r="P982" t="s">
        <v>74</v>
      </c>
      <c r="Q982" t="s">
        <v>74</v>
      </c>
      <c r="R982" t="s">
        <v>74</v>
      </c>
      <c r="S982" t="s">
        <v>74</v>
      </c>
      <c r="T982" t="s">
        <v>74</v>
      </c>
      <c r="U982" t="s">
        <v>16020</v>
      </c>
      <c r="V982" t="s">
        <v>16021</v>
      </c>
      <c r="W982" t="s">
        <v>16022</v>
      </c>
      <c r="X982" t="s">
        <v>3127</v>
      </c>
      <c r="Y982" t="s">
        <v>16023</v>
      </c>
      <c r="Z982" t="s">
        <v>16024</v>
      </c>
      <c r="AA982" t="s">
        <v>74</v>
      </c>
      <c r="AB982" t="s">
        <v>74</v>
      </c>
      <c r="AC982" t="s">
        <v>74</v>
      </c>
      <c r="AD982" t="s">
        <v>74</v>
      </c>
      <c r="AE982" t="s">
        <v>74</v>
      </c>
      <c r="AF982" t="s">
        <v>74</v>
      </c>
      <c r="AG982">
        <v>36</v>
      </c>
      <c r="AH982">
        <v>65</v>
      </c>
      <c r="AI982">
        <v>81</v>
      </c>
      <c r="AJ982">
        <v>0</v>
      </c>
      <c r="AK982">
        <v>15</v>
      </c>
      <c r="AL982" t="s">
        <v>583</v>
      </c>
      <c r="AM982" t="s">
        <v>584</v>
      </c>
      <c r="AN982" t="s">
        <v>585</v>
      </c>
      <c r="AO982" t="s">
        <v>6796</v>
      </c>
      <c r="AP982" t="s">
        <v>74</v>
      </c>
      <c r="AQ982" t="s">
        <v>74</v>
      </c>
      <c r="AR982" t="s">
        <v>6797</v>
      </c>
      <c r="AS982" t="s">
        <v>6798</v>
      </c>
      <c r="AT982" t="s">
        <v>15012</v>
      </c>
      <c r="AU982">
        <v>2007</v>
      </c>
      <c r="AV982">
        <v>135</v>
      </c>
      <c r="AW982">
        <v>9</v>
      </c>
      <c r="AX982" t="s">
        <v>74</v>
      </c>
      <c r="AY982" t="s">
        <v>74</v>
      </c>
      <c r="AZ982" t="s">
        <v>74</v>
      </c>
      <c r="BA982" t="s">
        <v>74</v>
      </c>
      <c r="BB982">
        <v>3134</v>
      </c>
      <c r="BC982">
        <v>3157</v>
      </c>
      <c r="BD982" t="s">
        <v>74</v>
      </c>
      <c r="BE982" t="s">
        <v>16025</v>
      </c>
      <c r="BF982" t="str">
        <f>HYPERLINK("http://dx.doi.org/10.1175/MWR3459.1","http://dx.doi.org/10.1175/MWR3459.1")</f>
        <v>http://dx.doi.org/10.1175/MWR3459.1</v>
      </c>
      <c r="BG982" t="s">
        <v>74</v>
      </c>
      <c r="BH982" t="s">
        <v>74</v>
      </c>
      <c r="BI982">
        <v>24</v>
      </c>
      <c r="BJ982" t="s">
        <v>204</v>
      </c>
      <c r="BK982" t="s">
        <v>97</v>
      </c>
      <c r="BL982" t="s">
        <v>204</v>
      </c>
      <c r="BM982" t="s">
        <v>16026</v>
      </c>
      <c r="BN982" t="s">
        <v>74</v>
      </c>
      <c r="BO982" t="s">
        <v>179</v>
      </c>
      <c r="BP982" t="s">
        <v>74</v>
      </c>
      <c r="BQ982" t="s">
        <v>74</v>
      </c>
      <c r="BR982" t="s">
        <v>100</v>
      </c>
      <c r="BS982" t="s">
        <v>16027</v>
      </c>
      <c r="BT982" t="str">
        <f>HYPERLINK("https%3A%2F%2Fwww.webofscience.com%2Fwos%2Fwoscc%2Ffull-record%2FWOS:000249350100008","View Full Record in Web of Science")</f>
        <v>View Full Record in Web of Science</v>
      </c>
    </row>
    <row r="983" spans="1:72" x14ac:dyDescent="0.15">
      <c r="A983" t="s">
        <v>72</v>
      </c>
      <c r="B983" t="s">
        <v>16028</v>
      </c>
      <c r="C983" t="s">
        <v>74</v>
      </c>
      <c r="D983" t="s">
        <v>74</v>
      </c>
      <c r="E983" t="s">
        <v>74</v>
      </c>
      <c r="F983" t="s">
        <v>16029</v>
      </c>
      <c r="G983" t="s">
        <v>74</v>
      </c>
      <c r="H983" t="s">
        <v>74</v>
      </c>
      <c r="I983" t="s">
        <v>16030</v>
      </c>
      <c r="J983" t="s">
        <v>16031</v>
      </c>
      <c r="K983" t="s">
        <v>74</v>
      </c>
      <c r="L983" t="s">
        <v>74</v>
      </c>
      <c r="M983" t="s">
        <v>78</v>
      </c>
      <c r="N983" t="s">
        <v>692</v>
      </c>
      <c r="O983" t="s">
        <v>74</v>
      </c>
      <c r="P983" t="s">
        <v>74</v>
      </c>
      <c r="Q983" t="s">
        <v>74</v>
      </c>
      <c r="R983" t="s">
        <v>74</v>
      </c>
      <c r="S983" t="s">
        <v>74</v>
      </c>
      <c r="T983" t="s">
        <v>74</v>
      </c>
      <c r="U983" t="s">
        <v>74</v>
      </c>
      <c r="V983" t="s">
        <v>74</v>
      </c>
      <c r="W983" t="s">
        <v>439</v>
      </c>
      <c r="X983" t="s">
        <v>440</v>
      </c>
      <c r="Y983" t="s">
        <v>14732</v>
      </c>
      <c r="Z983" t="s">
        <v>16032</v>
      </c>
      <c r="AA983" t="s">
        <v>8907</v>
      </c>
      <c r="AB983" t="s">
        <v>8908</v>
      </c>
      <c r="AC983" t="s">
        <v>1636</v>
      </c>
      <c r="AD983" t="s">
        <v>444</v>
      </c>
      <c r="AE983" t="s">
        <v>74</v>
      </c>
      <c r="AF983" t="s">
        <v>74</v>
      </c>
      <c r="AG983">
        <v>7</v>
      </c>
      <c r="AH983">
        <v>59</v>
      </c>
      <c r="AI983">
        <v>60</v>
      </c>
      <c r="AJ983">
        <v>0</v>
      </c>
      <c r="AK983">
        <v>6</v>
      </c>
      <c r="AL983" t="s">
        <v>13369</v>
      </c>
      <c r="AM983" t="s">
        <v>118</v>
      </c>
      <c r="AN983" t="s">
        <v>13370</v>
      </c>
      <c r="AO983" t="s">
        <v>16033</v>
      </c>
      <c r="AP983" t="s">
        <v>74</v>
      </c>
      <c r="AQ983" t="s">
        <v>74</v>
      </c>
      <c r="AR983" t="s">
        <v>16034</v>
      </c>
      <c r="AS983" t="s">
        <v>16035</v>
      </c>
      <c r="AT983" t="s">
        <v>15012</v>
      </c>
      <c r="AU983">
        <v>2007</v>
      </c>
      <c r="AV983">
        <v>3</v>
      </c>
      <c r="AW983">
        <v>9</v>
      </c>
      <c r="AX983" t="s">
        <v>74</v>
      </c>
      <c r="AY983" t="s">
        <v>74</v>
      </c>
      <c r="AZ983" t="s">
        <v>74</v>
      </c>
      <c r="BA983" t="s">
        <v>74</v>
      </c>
      <c r="BB983">
        <v>590</v>
      </c>
      <c r="BC983">
        <v>591</v>
      </c>
      <c r="BD983" t="s">
        <v>74</v>
      </c>
      <c r="BE983" t="s">
        <v>16036</v>
      </c>
      <c r="BF983" t="str">
        <f>HYPERLINK("http://dx.doi.org/10.1038/nphys703","http://dx.doi.org/10.1038/nphys703")</f>
        <v>http://dx.doi.org/10.1038/nphys703</v>
      </c>
      <c r="BG983" t="s">
        <v>74</v>
      </c>
      <c r="BH983" t="s">
        <v>74</v>
      </c>
      <c r="BI983">
        <v>2</v>
      </c>
      <c r="BJ983" t="s">
        <v>812</v>
      </c>
      <c r="BK983" t="s">
        <v>97</v>
      </c>
      <c r="BL983" t="s">
        <v>813</v>
      </c>
      <c r="BM983" t="s">
        <v>16037</v>
      </c>
      <c r="BN983" t="s">
        <v>74</v>
      </c>
      <c r="BO983" t="s">
        <v>250</v>
      </c>
      <c r="BP983" t="s">
        <v>74</v>
      </c>
      <c r="BQ983" t="s">
        <v>74</v>
      </c>
      <c r="BR983" t="s">
        <v>100</v>
      </c>
      <c r="BS983" t="s">
        <v>16038</v>
      </c>
      <c r="BT983" t="str">
        <f>HYPERLINK("https%3A%2F%2Fwww.webofscience.com%2Fwos%2Fwoscc%2Ffull-record%2FWOS:000249933700006","View Full Record in Web of Science")</f>
        <v>View Full Record in Web of Science</v>
      </c>
    </row>
    <row r="984" spans="1:72" x14ac:dyDescent="0.15">
      <c r="A984" t="s">
        <v>72</v>
      </c>
      <c r="B984" t="s">
        <v>16039</v>
      </c>
      <c r="C984" t="s">
        <v>74</v>
      </c>
      <c r="D984" t="s">
        <v>74</v>
      </c>
      <c r="E984" t="s">
        <v>74</v>
      </c>
      <c r="F984" t="s">
        <v>16040</v>
      </c>
      <c r="G984" t="s">
        <v>74</v>
      </c>
      <c r="H984" t="s">
        <v>74</v>
      </c>
      <c r="I984" t="s">
        <v>16041</v>
      </c>
      <c r="J984" t="s">
        <v>16042</v>
      </c>
      <c r="K984" t="s">
        <v>74</v>
      </c>
      <c r="L984" t="s">
        <v>74</v>
      </c>
      <c r="M984" t="s">
        <v>78</v>
      </c>
      <c r="N984" t="s">
        <v>79</v>
      </c>
      <c r="O984" t="s">
        <v>74</v>
      </c>
      <c r="P984" t="s">
        <v>74</v>
      </c>
      <c r="Q984" t="s">
        <v>74</v>
      </c>
      <c r="R984" t="s">
        <v>74</v>
      </c>
      <c r="S984" t="s">
        <v>74</v>
      </c>
      <c r="T984" t="s">
        <v>16043</v>
      </c>
      <c r="U984" t="s">
        <v>16044</v>
      </c>
      <c r="V984" t="s">
        <v>16045</v>
      </c>
      <c r="W984" t="s">
        <v>16046</v>
      </c>
      <c r="X984" t="s">
        <v>16047</v>
      </c>
      <c r="Y984" t="s">
        <v>16048</v>
      </c>
      <c r="Z984" t="s">
        <v>16049</v>
      </c>
      <c r="AA984" t="s">
        <v>74</v>
      </c>
      <c r="AB984" t="s">
        <v>74</v>
      </c>
      <c r="AC984" t="s">
        <v>74</v>
      </c>
      <c r="AD984" t="s">
        <v>74</v>
      </c>
      <c r="AE984" t="s">
        <v>74</v>
      </c>
      <c r="AF984" t="s">
        <v>74</v>
      </c>
      <c r="AG984">
        <v>38</v>
      </c>
      <c r="AH984">
        <v>20</v>
      </c>
      <c r="AI984">
        <v>23</v>
      </c>
      <c r="AJ984">
        <v>0</v>
      </c>
      <c r="AK984">
        <v>19</v>
      </c>
      <c r="AL984" t="s">
        <v>1331</v>
      </c>
      <c r="AM984" t="s">
        <v>1421</v>
      </c>
      <c r="AN984" t="s">
        <v>2160</v>
      </c>
      <c r="AO984" t="s">
        <v>16050</v>
      </c>
      <c r="AP984" t="s">
        <v>16051</v>
      </c>
      <c r="AQ984" t="s">
        <v>74</v>
      </c>
      <c r="AR984" t="s">
        <v>16052</v>
      </c>
      <c r="AS984" t="s">
        <v>16053</v>
      </c>
      <c r="AT984" t="s">
        <v>15012</v>
      </c>
      <c r="AU984">
        <v>2007</v>
      </c>
      <c r="AV984">
        <v>45</v>
      </c>
      <c r="AW984">
        <v>3</v>
      </c>
      <c r="AX984" t="s">
        <v>74</v>
      </c>
      <c r="AY984" t="s">
        <v>74</v>
      </c>
      <c r="AZ984" t="s">
        <v>74</v>
      </c>
      <c r="BA984" t="s">
        <v>74</v>
      </c>
      <c r="BB984">
        <v>451</v>
      </c>
      <c r="BC984">
        <v>461</v>
      </c>
      <c r="BD984" t="s">
        <v>74</v>
      </c>
      <c r="BE984" t="s">
        <v>74</v>
      </c>
      <c r="BF984" t="s">
        <v>74</v>
      </c>
      <c r="BG984" t="s">
        <v>74</v>
      </c>
      <c r="BH984" t="s">
        <v>74</v>
      </c>
      <c r="BI984">
        <v>11</v>
      </c>
      <c r="BJ984" t="s">
        <v>6860</v>
      </c>
      <c r="BK984" t="s">
        <v>97</v>
      </c>
      <c r="BL984" t="s">
        <v>6860</v>
      </c>
      <c r="BM984" t="s">
        <v>16054</v>
      </c>
      <c r="BN984" t="s">
        <v>74</v>
      </c>
      <c r="BO984" t="s">
        <v>74</v>
      </c>
      <c r="BP984" t="s">
        <v>74</v>
      </c>
      <c r="BQ984" t="s">
        <v>74</v>
      </c>
      <c r="BR984" t="s">
        <v>100</v>
      </c>
      <c r="BS984" t="s">
        <v>16055</v>
      </c>
      <c r="BT984" t="str">
        <f>HYPERLINK("https%3A%2F%2Fwww.webofscience.com%2Fwos%2Fwoscc%2Ffull-record%2FWOS:000250475800001","View Full Record in Web of Science")</f>
        <v>View Full Record in Web of Science</v>
      </c>
    </row>
    <row r="985" spans="1:72" x14ac:dyDescent="0.15">
      <c r="A985" t="s">
        <v>72</v>
      </c>
      <c r="B985" t="s">
        <v>16056</v>
      </c>
      <c r="C985" t="s">
        <v>74</v>
      </c>
      <c r="D985" t="s">
        <v>74</v>
      </c>
      <c r="E985" t="s">
        <v>74</v>
      </c>
      <c r="F985" t="s">
        <v>16057</v>
      </c>
      <c r="G985" t="s">
        <v>74</v>
      </c>
      <c r="H985" t="s">
        <v>74</v>
      </c>
      <c r="I985" t="s">
        <v>16058</v>
      </c>
      <c r="J985" t="s">
        <v>16059</v>
      </c>
      <c r="K985" t="s">
        <v>74</v>
      </c>
      <c r="L985" t="s">
        <v>74</v>
      </c>
      <c r="M985" t="s">
        <v>78</v>
      </c>
      <c r="N985" t="s">
        <v>79</v>
      </c>
      <c r="O985" t="s">
        <v>74</v>
      </c>
      <c r="P985" t="s">
        <v>74</v>
      </c>
      <c r="Q985" t="s">
        <v>74</v>
      </c>
      <c r="R985" t="s">
        <v>74</v>
      </c>
      <c r="S985" t="s">
        <v>74</v>
      </c>
      <c r="T985" t="s">
        <v>16060</v>
      </c>
      <c r="U985" t="s">
        <v>16061</v>
      </c>
      <c r="V985" t="s">
        <v>16062</v>
      </c>
      <c r="W985" t="s">
        <v>16063</v>
      </c>
      <c r="X985" t="s">
        <v>16064</v>
      </c>
      <c r="Y985" t="s">
        <v>16065</v>
      </c>
      <c r="Z985" t="s">
        <v>16066</v>
      </c>
      <c r="AA985" t="s">
        <v>74</v>
      </c>
      <c r="AB985" t="s">
        <v>74</v>
      </c>
      <c r="AC985" t="s">
        <v>74</v>
      </c>
      <c r="AD985" t="s">
        <v>74</v>
      </c>
      <c r="AE985" t="s">
        <v>74</v>
      </c>
      <c r="AF985" t="s">
        <v>74</v>
      </c>
      <c r="AG985">
        <v>66</v>
      </c>
      <c r="AH985">
        <v>12</v>
      </c>
      <c r="AI985">
        <v>13</v>
      </c>
      <c r="AJ985">
        <v>0</v>
      </c>
      <c r="AK985">
        <v>12</v>
      </c>
      <c r="AL985" t="s">
        <v>16067</v>
      </c>
      <c r="AM985" t="s">
        <v>16068</v>
      </c>
      <c r="AN985" t="s">
        <v>16069</v>
      </c>
      <c r="AO985" t="s">
        <v>16070</v>
      </c>
      <c r="AP985" t="s">
        <v>74</v>
      </c>
      <c r="AQ985" t="s">
        <v>74</v>
      </c>
      <c r="AR985" t="s">
        <v>16071</v>
      </c>
      <c r="AS985" t="s">
        <v>16072</v>
      </c>
      <c r="AT985" t="s">
        <v>15012</v>
      </c>
      <c r="AU985">
        <v>2007</v>
      </c>
      <c r="AV985">
        <v>50</v>
      </c>
      <c r="AW985">
        <v>3</v>
      </c>
      <c r="AX985" t="s">
        <v>74</v>
      </c>
      <c r="AY985" t="s">
        <v>74</v>
      </c>
      <c r="AZ985" t="s">
        <v>74</v>
      </c>
      <c r="BA985" t="s">
        <v>74</v>
      </c>
      <c r="BB985">
        <v>245</v>
      </c>
      <c r="BC985">
        <v>261</v>
      </c>
      <c r="BD985" t="s">
        <v>74</v>
      </c>
      <c r="BE985" t="s">
        <v>16073</v>
      </c>
      <c r="BF985" t="str">
        <f>HYPERLINK("http://dx.doi.org/10.1080/00288300709509835","http://dx.doi.org/10.1080/00288300709509835")</f>
        <v>http://dx.doi.org/10.1080/00288300709509835</v>
      </c>
      <c r="BG985" t="s">
        <v>74</v>
      </c>
      <c r="BH985" t="s">
        <v>74</v>
      </c>
      <c r="BI985">
        <v>17</v>
      </c>
      <c r="BJ985" t="s">
        <v>1824</v>
      </c>
      <c r="BK985" t="s">
        <v>97</v>
      </c>
      <c r="BL985" t="s">
        <v>98</v>
      </c>
      <c r="BM985" t="s">
        <v>16074</v>
      </c>
      <c r="BN985" t="s">
        <v>74</v>
      </c>
      <c r="BO985" t="s">
        <v>74</v>
      </c>
      <c r="BP985" t="s">
        <v>74</v>
      </c>
      <c r="BQ985" t="s">
        <v>74</v>
      </c>
      <c r="BR985" t="s">
        <v>100</v>
      </c>
      <c r="BS985" t="s">
        <v>16075</v>
      </c>
      <c r="BT985" t="str">
        <f>HYPERLINK("https%3A%2F%2Fwww.webofscience.com%2Fwos%2Fwoscc%2Ffull-record%2FWOS:000250614600007","View Full Record in Web of Science")</f>
        <v>View Full Record in Web of Science</v>
      </c>
    </row>
    <row r="986" spans="1:72" x14ac:dyDescent="0.15">
      <c r="A986" t="s">
        <v>72</v>
      </c>
      <c r="B986" t="s">
        <v>16076</v>
      </c>
      <c r="C986" t="s">
        <v>74</v>
      </c>
      <c r="D986" t="s">
        <v>74</v>
      </c>
      <c r="E986" t="s">
        <v>74</v>
      </c>
      <c r="F986" t="s">
        <v>16077</v>
      </c>
      <c r="G986" t="s">
        <v>74</v>
      </c>
      <c r="H986" t="s">
        <v>74</v>
      </c>
      <c r="I986" t="s">
        <v>16078</v>
      </c>
      <c r="J986" t="s">
        <v>10689</v>
      </c>
      <c r="K986" t="s">
        <v>74</v>
      </c>
      <c r="L986" t="s">
        <v>74</v>
      </c>
      <c r="M986" t="s">
        <v>78</v>
      </c>
      <c r="N986" t="s">
        <v>79</v>
      </c>
      <c r="O986" t="s">
        <v>74</v>
      </c>
      <c r="P986" t="s">
        <v>74</v>
      </c>
      <c r="Q986" t="s">
        <v>74</v>
      </c>
      <c r="R986" t="s">
        <v>74</v>
      </c>
      <c r="S986" t="s">
        <v>74</v>
      </c>
      <c r="T986" t="s">
        <v>16079</v>
      </c>
      <c r="U986" t="s">
        <v>16080</v>
      </c>
      <c r="V986" t="s">
        <v>16081</v>
      </c>
      <c r="W986" t="s">
        <v>16082</v>
      </c>
      <c r="X986" t="s">
        <v>5738</v>
      </c>
      <c r="Y986" t="s">
        <v>16083</v>
      </c>
      <c r="Z986" t="s">
        <v>16084</v>
      </c>
      <c r="AA986" t="s">
        <v>74</v>
      </c>
      <c r="AB986" t="s">
        <v>74</v>
      </c>
      <c r="AC986" t="s">
        <v>5743</v>
      </c>
      <c r="AD986" t="s">
        <v>242</v>
      </c>
      <c r="AE986" t="s">
        <v>74</v>
      </c>
      <c r="AF986" t="s">
        <v>74</v>
      </c>
      <c r="AG986">
        <v>22</v>
      </c>
      <c r="AH986">
        <v>6</v>
      </c>
      <c r="AI986">
        <v>8</v>
      </c>
      <c r="AJ986">
        <v>0</v>
      </c>
      <c r="AK986">
        <v>10</v>
      </c>
      <c r="AL986" t="s">
        <v>1219</v>
      </c>
      <c r="AM986" t="s">
        <v>89</v>
      </c>
      <c r="AN986" t="s">
        <v>90</v>
      </c>
      <c r="AO986" t="s">
        <v>10695</v>
      </c>
      <c r="AP986" t="s">
        <v>10696</v>
      </c>
      <c r="AQ986" t="s">
        <v>74</v>
      </c>
      <c r="AR986" t="s">
        <v>10697</v>
      </c>
      <c r="AS986" t="s">
        <v>10698</v>
      </c>
      <c r="AT986" t="s">
        <v>15012</v>
      </c>
      <c r="AU986">
        <v>2007</v>
      </c>
      <c r="AV986">
        <v>32</v>
      </c>
      <c r="AW986">
        <v>3</v>
      </c>
      <c r="AX986" t="s">
        <v>74</v>
      </c>
      <c r="AY986" t="s">
        <v>74</v>
      </c>
      <c r="AZ986" t="s">
        <v>74</v>
      </c>
      <c r="BA986" t="s">
        <v>74</v>
      </c>
      <c r="BB986">
        <v>233</v>
      </c>
      <c r="BC986">
        <v>239</v>
      </c>
      <c r="BD986" t="s">
        <v>74</v>
      </c>
      <c r="BE986" t="s">
        <v>16085</v>
      </c>
      <c r="BF986" t="str">
        <f>HYPERLINK("http://dx.doi.org/10.1111/j.1365-3032.2007.00569.x","http://dx.doi.org/10.1111/j.1365-3032.2007.00569.x")</f>
        <v>http://dx.doi.org/10.1111/j.1365-3032.2007.00569.x</v>
      </c>
      <c r="BG986" t="s">
        <v>74</v>
      </c>
      <c r="BH986" t="s">
        <v>74</v>
      </c>
      <c r="BI986">
        <v>7</v>
      </c>
      <c r="BJ986" t="s">
        <v>10700</v>
      </c>
      <c r="BK986" t="s">
        <v>97</v>
      </c>
      <c r="BL986" t="s">
        <v>10700</v>
      </c>
      <c r="BM986" t="s">
        <v>16086</v>
      </c>
      <c r="BN986" t="s">
        <v>74</v>
      </c>
      <c r="BO986" t="s">
        <v>74</v>
      </c>
      <c r="BP986" t="s">
        <v>74</v>
      </c>
      <c r="BQ986" t="s">
        <v>74</v>
      </c>
      <c r="BR986" t="s">
        <v>100</v>
      </c>
      <c r="BS986" t="s">
        <v>16087</v>
      </c>
      <c r="BT986" t="str">
        <f>HYPERLINK("https%3A%2F%2Fwww.webofscience.com%2Fwos%2Fwoscc%2Ffull-record%2FWOS:000249204200005","View Full Record in Web of Science")</f>
        <v>View Full Record in Web of Science</v>
      </c>
    </row>
    <row r="987" spans="1:72" x14ac:dyDescent="0.15">
      <c r="A987" t="s">
        <v>72</v>
      </c>
      <c r="B987" t="s">
        <v>16088</v>
      </c>
      <c r="C987" t="s">
        <v>74</v>
      </c>
      <c r="D987" t="s">
        <v>74</v>
      </c>
      <c r="E987" t="s">
        <v>74</v>
      </c>
      <c r="F987" t="s">
        <v>16089</v>
      </c>
      <c r="G987" t="s">
        <v>74</v>
      </c>
      <c r="H987" t="s">
        <v>74</v>
      </c>
      <c r="I987" t="s">
        <v>16090</v>
      </c>
      <c r="J987" t="s">
        <v>7269</v>
      </c>
      <c r="K987" t="s">
        <v>74</v>
      </c>
      <c r="L987" t="s">
        <v>74</v>
      </c>
      <c r="M987" t="s">
        <v>78</v>
      </c>
      <c r="N987" t="s">
        <v>79</v>
      </c>
      <c r="O987" t="s">
        <v>74</v>
      </c>
      <c r="P987" t="s">
        <v>74</v>
      </c>
      <c r="Q987" t="s">
        <v>74</v>
      </c>
      <c r="R987" t="s">
        <v>74</v>
      </c>
      <c r="S987" t="s">
        <v>74</v>
      </c>
      <c r="T987" t="s">
        <v>16091</v>
      </c>
      <c r="U987" t="s">
        <v>16092</v>
      </c>
      <c r="V987" t="s">
        <v>16093</v>
      </c>
      <c r="W987" t="s">
        <v>16094</v>
      </c>
      <c r="X987" t="s">
        <v>16095</v>
      </c>
      <c r="Y987" t="s">
        <v>16096</v>
      </c>
      <c r="Z987" t="s">
        <v>7408</v>
      </c>
      <c r="AA987" t="s">
        <v>16097</v>
      </c>
      <c r="AB987" t="s">
        <v>16098</v>
      </c>
      <c r="AC987" t="s">
        <v>74</v>
      </c>
      <c r="AD987" t="s">
        <v>74</v>
      </c>
      <c r="AE987" t="s">
        <v>74</v>
      </c>
      <c r="AF987" t="s">
        <v>74</v>
      </c>
      <c r="AG987">
        <v>40</v>
      </c>
      <c r="AH987">
        <v>22</v>
      </c>
      <c r="AI987">
        <v>22</v>
      </c>
      <c r="AJ987">
        <v>0</v>
      </c>
      <c r="AK987">
        <v>16</v>
      </c>
      <c r="AL987" t="s">
        <v>1265</v>
      </c>
      <c r="AM987" t="s">
        <v>662</v>
      </c>
      <c r="AN987" t="s">
        <v>1298</v>
      </c>
      <c r="AO987" t="s">
        <v>7277</v>
      </c>
      <c r="AP987" t="s">
        <v>7278</v>
      </c>
      <c r="AQ987" t="s">
        <v>74</v>
      </c>
      <c r="AR987" t="s">
        <v>7279</v>
      </c>
      <c r="AS987" t="s">
        <v>7280</v>
      </c>
      <c r="AT987" t="s">
        <v>15012</v>
      </c>
      <c r="AU987">
        <v>2007</v>
      </c>
      <c r="AV987">
        <v>30</v>
      </c>
      <c r="AW987">
        <v>10</v>
      </c>
      <c r="AX987" t="s">
        <v>74</v>
      </c>
      <c r="AY987" t="s">
        <v>74</v>
      </c>
      <c r="AZ987" t="s">
        <v>74</v>
      </c>
      <c r="BA987" t="s">
        <v>74</v>
      </c>
      <c r="BB987">
        <v>1219</v>
      </c>
      <c r="BC987">
        <v>1226</v>
      </c>
      <c r="BD987" t="s">
        <v>74</v>
      </c>
      <c r="BE987" t="s">
        <v>16099</v>
      </c>
      <c r="BF987" t="str">
        <f>HYPERLINK("http://dx.doi.org/10.1007/s00300-007-0281-3","http://dx.doi.org/10.1007/s00300-007-0281-3")</f>
        <v>http://dx.doi.org/10.1007/s00300-007-0281-3</v>
      </c>
      <c r="BG987" t="s">
        <v>74</v>
      </c>
      <c r="BH987" t="s">
        <v>74</v>
      </c>
      <c r="BI987">
        <v>8</v>
      </c>
      <c r="BJ987" t="s">
        <v>7282</v>
      </c>
      <c r="BK987" t="s">
        <v>97</v>
      </c>
      <c r="BL987" t="s">
        <v>7283</v>
      </c>
      <c r="BM987" t="s">
        <v>16100</v>
      </c>
      <c r="BN987" t="s">
        <v>74</v>
      </c>
      <c r="BO987" t="s">
        <v>74</v>
      </c>
      <c r="BP987" t="s">
        <v>74</v>
      </c>
      <c r="BQ987" t="s">
        <v>74</v>
      </c>
      <c r="BR987" t="s">
        <v>100</v>
      </c>
      <c r="BS987" t="s">
        <v>16101</v>
      </c>
      <c r="BT987" t="str">
        <f>HYPERLINK("https%3A%2F%2Fwww.webofscience.com%2Fwos%2Fwoscc%2Ffull-record%2FWOS:000248812800001","View Full Record in Web of Science")</f>
        <v>View Full Record in Web of Science</v>
      </c>
    </row>
    <row r="988" spans="1:72" x14ac:dyDescent="0.15">
      <c r="A988" t="s">
        <v>72</v>
      </c>
      <c r="B988" t="s">
        <v>16102</v>
      </c>
      <c r="C988" t="s">
        <v>74</v>
      </c>
      <c r="D988" t="s">
        <v>74</v>
      </c>
      <c r="E988" t="s">
        <v>74</v>
      </c>
      <c r="F988" t="s">
        <v>16103</v>
      </c>
      <c r="G988" t="s">
        <v>74</v>
      </c>
      <c r="H988" t="s">
        <v>74</v>
      </c>
      <c r="I988" t="s">
        <v>16104</v>
      </c>
      <c r="J988" t="s">
        <v>7269</v>
      </c>
      <c r="K988" t="s">
        <v>74</v>
      </c>
      <c r="L988" t="s">
        <v>74</v>
      </c>
      <c r="M988" t="s">
        <v>78</v>
      </c>
      <c r="N988" t="s">
        <v>79</v>
      </c>
      <c r="O988" t="s">
        <v>74</v>
      </c>
      <c r="P988" t="s">
        <v>74</v>
      </c>
      <c r="Q988" t="s">
        <v>74</v>
      </c>
      <c r="R988" t="s">
        <v>74</v>
      </c>
      <c r="S988" t="s">
        <v>74</v>
      </c>
      <c r="T988" t="s">
        <v>74</v>
      </c>
      <c r="U988" t="s">
        <v>16105</v>
      </c>
      <c r="V988" t="s">
        <v>16106</v>
      </c>
      <c r="W988" t="s">
        <v>16107</v>
      </c>
      <c r="X988" t="s">
        <v>16108</v>
      </c>
      <c r="Y988" t="s">
        <v>16109</v>
      </c>
      <c r="Z988" t="s">
        <v>16110</v>
      </c>
      <c r="AA988" t="s">
        <v>16111</v>
      </c>
      <c r="AB988" t="s">
        <v>16112</v>
      </c>
      <c r="AC988" t="s">
        <v>74</v>
      </c>
      <c r="AD988" t="s">
        <v>74</v>
      </c>
      <c r="AE988" t="s">
        <v>74</v>
      </c>
      <c r="AF988" t="s">
        <v>74</v>
      </c>
      <c r="AG988">
        <v>18</v>
      </c>
      <c r="AH988">
        <v>12</v>
      </c>
      <c r="AI988">
        <v>14</v>
      </c>
      <c r="AJ988">
        <v>1</v>
      </c>
      <c r="AK988">
        <v>10</v>
      </c>
      <c r="AL988" t="s">
        <v>1265</v>
      </c>
      <c r="AM988" t="s">
        <v>662</v>
      </c>
      <c r="AN988" t="s">
        <v>1266</v>
      </c>
      <c r="AO988" t="s">
        <v>7277</v>
      </c>
      <c r="AP988" t="s">
        <v>7278</v>
      </c>
      <c r="AQ988" t="s">
        <v>74</v>
      </c>
      <c r="AR988" t="s">
        <v>7279</v>
      </c>
      <c r="AS988" t="s">
        <v>7280</v>
      </c>
      <c r="AT988" t="s">
        <v>15012</v>
      </c>
      <c r="AU988">
        <v>2007</v>
      </c>
      <c r="AV988">
        <v>30</v>
      </c>
      <c r="AW988">
        <v>10</v>
      </c>
      <c r="AX988" t="s">
        <v>74</v>
      </c>
      <c r="AY988" t="s">
        <v>74</v>
      </c>
      <c r="AZ988" t="s">
        <v>74</v>
      </c>
      <c r="BA988" t="s">
        <v>74</v>
      </c>
      <c r="BB988">
        <v>1227</v>
      </c>
      <c r="BC988">
        <v>1229</v>
      </c>
      <c r="BD988" t="s">
        <v>74</v>
      </c>
      <c r="BE988" t="s">
        <v>16113</v>
      </c>
      <c r="BF988" t="str">
        <f>HYPERLINK("http://dx.doi.org/10.1007/s00300-007-0282-2","http://dx.doi.org/10.1007/s00300-007-0282-2")</f>
        <v>http://dx.doi.org/10.1007/s00300-007-0282-2</v>
      </c>
      <c r="BG988" t="s">
        <v>74</v>
      </c>
      <c r="BH988" t="s">
        <v>74</v>
      </c>
      <c r="BI988">
        <v>3</v>
      </c>
      <c r="BJ988" t="s">
        <v>7282</v>
      </c>
      <c r="BK988" t="s">
        <v>97</v>
      </c>
      <c r="BL988" t="s">
        <v>7283</v>
      </c>
      <c r="BM988" t="s">
        <v>16100</v>
      </c>
      <c r="BN988" t="s">
        <v>74</v>
      </c>
      <c r="BO988" t="s">
        <v>74</v>
      </c>
      <c r="BP988" t="s">
        <v>74</v>
      </c>
      <c r="BQ988" t="s">
        <v>74</v>
      </c>
      <c r="BR988" t="s">
        <v>100</v>
      </c>
      <c r="BS988" t="s">
        <v>16114</v>
      </c>
      <c r="BT988" t="str">
        <f>HYPERLINK("https%3A%2F%2Fwww.webofscience.com%2Fwos%2Fwoscc%2Ffull-record%2FWOS:000248812800002","View Full Record in Web of Science")</f>
        <v>View Full Record in Web of Science</v>
      </c>
    </row>
    <row r="989" spans="1:72" x14ac:dyDescent="0.15">
      <c r="A989" t="s">
        <v>72</v>
      </c>
      <c r="B989" t="s">
        <v>16115</v>
      </c>
      <c r="C989" t="s">
        <v>74</v>
      </c>
      <c r="D989" t="s">
        <v>74</v>
      </c>
      <c r="E989" t="s">
        <v>74</v>
      </c>
      <c r="F989" t="s">
        <v>16116</v>
      </c>
      <c r="G989" t="s">
        <v>74</v>
      </c>
      <c r="H989" t="s">
        <v>74</v>
      </c>
      <c r="I989" t="s">
        <v>16117</v>
      </c>
      <c r="J989" t="s">
        <v>7269</v>
      </c>
      <c r="K989" t="s">
        <v>74</v>
      </c>
      <c r="L989" t="s">
        <v>74</v>
      </c>
      <c r="M989" t="s">
        <v>78</v>
      </c>
      <c r="N989" t="s">
        <v>79</v>
      </c>
      <c r="O989" t="s">
        <v>74</v>
      </c>
      <c r="P989" t="s">
        <v>74</v>
      </c>
      <c r="Q989" t="s">
        <v>74</v>
      </c>
      <c r="R989" t="s">
        <v>74</v>
      </c>
      <c r="S989" t="s">
        <v>74</v>
      </c>
      <c r="T989" t="s">
        <v>16118</v>
      </c>
      <c r="U989" t="s">
        <v>16119</v>
      </c>
      <c r="V989" t="s">
        <v>16120</v>
      </c>
      <c r="W989" t="s">
        <v>12726</v>
      </c>
      <c r="X989" t="s">
        <v>2881</v>
      </c>
      <c r="Y989" t="s">
        <v>16121</v>
      </c>
      <c r="Z989" t="s">
        <v>16122</v>
      </c>
      <c r="AA989" t="s">
        <v>74</v>
      </c>
      <c r="AB989" t="s">
        <v>74</v>
      </c>
      <c r="AC989" t="s">
        <v>74</v>
      </c>
      <c r="AD989" t="s">
        <v>74</v>
      </c>
      <c r="AE989" t="s">
        <v>74</v>
      </c>
      <c r="AF989" t="s">
        <v>74</v>
      </c>
      <c r="AG989">
        <v>24</v>
      </c>
      <c r="AH989">
        <v>36</v>
      </c>
      <c r="AI989">
        <v>41</v>
      </c>
      <c r="AJ989">
        <v>3</v>
      </c>
      <c r="AK989">
        <v>32</v>
      </c>
      <c r="AL989" t="s">
        <v>1265</v>
      </c>
      <c r="AM989" t="s">
        <v>662</v>
      </c>
      <c r="AN989" t="s">
        <v>7409</v>
      </c>
      <c r="AO989" t="s">
        <v>7277</v>
      </c>
      <c r="AP989" t="s">
        <v>74</v>
      </c>
      <c r="AQ989" t="s">
        <v>74</v>
      </c>
      <c r="AR989" t="s">
        <v>7279</v>
      </c>
      <c r="AS989" t="s">
        <v>7280</v>
      </c>
      <c r="AT989" t="s">
        <v>15012</v>
      </c>
      <c r="AU989">
        <v>2007</v>
      </c>
      <c r="AV989">
        <v>30</v>
      </c>
      <c r="AW989">
        <v>10</v>
      </c>
      <c r="AX989" t="s">
        <v>74</v>
      </c>
      <c r="AY989" t="s">
        <v>74</v>
      </c>
      <c r="AZ989" t="s">
        <v>74</v>
      </c>
      <c r="BA989" t="s">
        <v>74</v>
      </c>
      <c r="BB989">
        <v>1231</v>
      </c>
      <c r="BC989">
        <v>1237</v>
      </c>
      <c r="BD989" t="s">
        <v>74</v>
      </c>
      <c r="BE989" t="s">
        <v>16123</v>
      </c>
      <c r="BF989" t="str">
        <f>HYPERLINK("http://dx.doi.org/10.1007/s00300-007-0283-1","http://dx.doi.org/10.1007/s00300-007-0283-1")</f>
        <v>http://dx.doi.org/10.1007/s00300-007-0283-1</v>
      </c>
      <c r="BG989" t="s">
        <v>74</v>
      </c>
      <c r="BH989" t="s">
        <v>74</v>
      </c>
      <c r="BI989">
        <v>7</v>
      </c>
      <c r="BJ989" t="s">
        <v>7282</v>
      </c>
      <c r="BK989" t="s">
        <v>97</v>
      </c>
      <c r="BL989" t="s">
        <v>7283</v>
      </c>
      <c r="BM989" t="s">
        <v>16100</v>
      </c>
      <c r="BN989" t="s">
        <v>74</v>
      </c>
      <c r="BO989" t="s">
        <v>74</v>
      </c>
      <c r="BP989" t="s">
        <v>74</v>
      </c>
      <c r="BQ989" t="s">
        <v>74</v>
      </c>
      <c r="BR989" t="s">
        <v>100</v>
      </c>
      <c r="BS989" t="s">
        <v>16124</v>
      </c>
      <c r="BT989" t="str">
        <f>HYPERLINK("https%3A%2F%2Fwww.webofscience.com%2Fwos%2Fwoscc%2Ffull-record%2FWOS:000248812800003","View Full Record in Web of Science")</f>
        <v>View Full Record in Web of Science</v>
      </c>
    </row>
    <row r="990" spans="1:72" x14ac:dyDescent="0.15">
      <c r="A990" t="s">
        <v>72</v>
      </c>
      <c r="B990" t="s">
        <v>16125</v>
      </c>
      <c r="C990" t="s">
        <v>74</v>
      </c>
      <c r="D990" t="s">
        <v>74</v>
      </c>
      <c r="E990" t="s">
        <v>74</v>
      </c>
      <c r="F990" t="s">
        <v>16126</v>
      </c>
      <c r="G990" t="s">
        <v>74</v>
      </c>
      <c r="H990" t="s">
        <v>74</v>
      </c>
      <c r="I990" t="s">
        <v>16127</v>
      </c>
      <c r="J990" t="s">
        <v>7269</v>
      </c>
      <c r="K990" t="s">
        <v>74</v>
      </c>
      <c r="L990" t="s">
        <v>74</v>
      </c>
      <c r="M990" t="s">
        <v>78</v>
      </c>
      <c r="N990" t="s">
        <v>79</v>
      </c>
      <c r="O990" t="s">
        <v>74</v>
      </c>
      <c r="P990" t="s">
        <v>74</v>
      </c>
      <c r="Q990" t="s">
        <v>74</v>
      </c>
      <c r="R990" t="s">
        <v>74</v>
      </c>
      <c r="S990" t="s">
        <v>74</v>
      </c>
      <c r="T990" t="s">
        <v>16128</v>
      </c>
      <c r="U990" t="s">
        <v>16129</v>
      </c>
      <c r="V990" t="s">
        <v>16130</v>
      </c>
      <c r="W990" t="s">
        <v>16131</v>
      </c>
      <c r="X990" t="s">
        <v>16132</v>
      </c>
      <c r="Y990" t="s">
        <v>16133</v>
      </c>
      <c r="Z990" t="s">
        <v>16134</v>
      </c>
      <c r="AA990" t="s">
        <v>16135</v>
      </c>
      <c r="AB990" t="s">
        <v>16136</v>
      </c>
      <c r="AC990" t="s">
        <v>74</v>
      </c>
      <c r="AD990" t="s">
        <v>74</v>
      </c>
      <c r="AE990" t="s">
        <v>74</v>
      </c>
      <c r="AF990" t="s">
        <v>74</v>
      </c>
      <c r="AG990">
        <v>44</v>
      </c>
      <c r="AH990">
        <v>12</v>
      </c>
      <c r="AI990">
        <v>15</v>
      </c>
      <c r="AJ990">
        <v>0</v>
      </c>
      <c r="AK990">
        <v>23</v>
      </c>
      <c r="AL990" t="s">
        <v>1265</v>
      </c>
      <c r="AM990" t="s">
        <v>662</v>
      </c>
      <c r="AN990" t="s">
        <v>1298</v>
      </c>
      <c r="AO990" t="s">
        <v>7277</v>
      </c>
      <c r="AP990" t="s">
        <v>7278</v>
      </c>
      <c r="AQ990" t="s">
        <v>74</v>
      </c>
      <c r="AR990" t="s">
        <v>7279</v>
      </c>
      <c r="AS990" t="s">
        <v>7280</v>
      </c>
      <c r="AT990" t="s">
        <v>15012</v>
      </c>
      <c r="AU990">
        <v>2007</v>
      </c>
      <c r="AV990">
        <v>30</v>
      </c>
      <c r="AW990">
        <v>10</v>
      </c>
      <c r="AX990" t="s">
        <v>74</v>
      </c>
      <c r="AY990" t="s">
        <v>74</v>
      </c>
      <c r="AZ990" t="s">
        <v>74</v>
      </c>
      <c r="BA990" t="s">
        <v>74</v>
      </c>
      <c r="BB990">
        <v>1239</v>
      </c>
      <c r="BC990">
        <v>1244</v>
      </c>
      <c r="BD990" t="s">
        <v>74</v>
      </c>
      <c r="BE990" t="s">
        <v>16137</v>
      </c>
      <c r="BF990" t="str">
        <f>HYPERLINK("http://dx.doi.org/10.1007/s00300-007-0284-0","http://dx.doi.org/10.1007/s00300-007-0284-0")</f>
        <v>http://dx.doi.org/10.1007/s00300-007-0284-0</v>
      </c>
      <c r="BG990" t="s">
        <v>74</v>
      </c>
      <c r="BH990" t="s">
        <v>74</v>
      </c>
      <c r="BI990">
        <v>6</v>
      </c>
      <c r="BJ990" t="s">
        <v>7282</v>
      </c>
      <c r="BK990" t="s">
        <v>97</v>
      </c>
      <c r="BL990" t="s">
        <v>7283</v>
      </c>
      <c r="BM990" t="s">
        <v>16100</v>
      </c>
      <c r="BN990" t="s">
        <v>74</v>
      </c>
      <c r="BO990" t="s">
        <v>74</v>
      </c>
      <c r="BP990" t="s">
        <v>74</v>
      </c>
      <c r="BQ990" t="s">
        <v>74</v>
      </c>
      <c r="BR990" t="s">
        <v>100</v>
      </c>
      <c r="BS990" t="s">
        <v>16138</v>
      </c>
      <c r="BT990" t="str">
        <f>HYPERLINK("https%3A%2F%2Fwww.webofscience.com%2Fwos%2Fwoscc%2Ffull-record%2FWOS:000248812800004","View Full Record in Web of Science")</f>
        <v>View Full Record in Web of Science</v>
      </c>
    </row>
    <row r="991" spans="1:72" x14ac:dyDescent="0.15">
      <c r="A991" t="s">
        <v>72</v>
      </c>
      <c r="B991" t="s">
        <v>16139</v>
      </c>
      <c r="C991" t="s">
        <v>74</v>
      </c>
      <c r="D991" t="s">
        <v>74</v>
      </c>
      <c r="E991" t="s">
        <v>74</v>
      </c>
      <c r="F991" t="s">
        <v>16140</v>
      </c>
      <c r="G991" t="s">
        <v>74</v>
      </c>
      <c r="H991" t="s">
        <v>74</v>
      </c>
      <c r="I991" t="s">
        <v>16141</v>
      </c>
      <c r="J991" t="s">
        <v>7269</v>
      </c>
      <c r="K991" t="s">
        <v>74</v>
      </c>
      <c r="L991" t="s">
        <v>74</v>
      </c>
      <c r="M991" t="s">
        <v>78</v>
      </c>
      <c r="N991" t="s">
        <v>79</v>
      </c>
      <c r="O991" t="s">
        <v>74</v>
      </c>
      <c r="P991" t="s">
        <v>74</v>
      </c>
      <c r="Q991" t="s">
        <v>74</v>
      </c>
      <c r="R991" t="s">
        <v>74</v>
      </c>
      <c r="S991" t="s">
        <v>74</v>
      </c>
      <c r="T991" t="s">
        <v>16142</v>
      </c>
      <c r="U991" t="s">
        <v>16143</v>
      </c>
      <c r="V991" t="s">
        <v>16144</v>
      </c>
      <c r="W991" t="s">
        <v>16145</v>
      </c>
      <c r="X991" t="s">
        <v>8959</v>
      </c>
      <c r="Y991" t="s">
        <v>8960</v>
      </c>
      <c r="Z991" t="s">
        <v>8961</v>
      </c>
      <c r="AA991" t="s">
        <v>74</v>
      </c>
      <c r="AB991" t="s">
        <v>74</v>
      </c>
      <c r="AC991" t="s">
        <v>74</v>
      </c>
      <c r="AD991" t="s">
        <v>74</v>
      </c>
      <c r="AE991" t="s">
        <v>74</v>
      </c>
      <c r="AF991" t="s">
        <v>74</v>
      </c>
      <c r="AG991">
        <v>40</v>
      </c>
      <c r="AH991">
        <v>9</v>
      </c>
      <c r="AI991">
        <v>11</v>
      </c>
      <c r="AJ991">
        <v>0</v>
      </c>
      <c r="AK991">
        <v>13</v>
      </c>
      <c r="AL991" t="s">
        <v>1265</v>
      </c>
      <c r="AM991" t="s">
        <v>662</v>
      </c>
      <c r="AN991" t="s">
        <v>1298</v>
      </c>
      <c r="AO991" t="s">
        <v>7277</v>
      </c>
      <c r="AP991" t="s">
        <v>7278</v>
      </c>
      <c r="AQ991" t="s">
        <v>74</v>
      </c>
      <c r="AR991" t="s">
        <v>7279</v>
      </c>
      <c r="AS991" t="s">
        <v>7280</v>
      </c>
      <c r="AT991" t="s">
        <v>15012</v>
      </c>
      <c r="AU991">
        <v>2007</v>
      </c>
      <c r="AV991">
        <v>30</v>
      </c>
      <c r="AW991">
        <v>10</v>
      </c>
      <c r="AX991" t="s">
        <v>74</v>
      </c>
      <c r="AY991" t="s">
        <v>74</v>
      </c>
      <c r="AZ991" t="s">
        <v>74</v>
      </c>
      <c r="BA991" t="s">
        <v>74</v>
      </c>
      <c r="BB991">
        <v>1245</v>
      </c>
      <c r="BC991">
        <v>1252</v>
      </c>
      <c r="BD991" t="s">
        <v>74</v>
      </c>
      <c r="BE991" t="s">
        <v>16146</v>
      </c>
      <c r="BF991" t="str">
        <f>HYPERLINK("http://dx.doi.org/10.1007/s00300-007-0285-z","http://dx.doi.org/10.1007/s00300-007-0285-z")</f>
        <v>http://dx.doi.org/10.1007/s00300-007-0285-z</v>
      </c>
      <c r="BG991" t="s">
        <v>74</v>
      </c>
      <c r="BH991" t="s">
        <v>74</v>
      </c>
      <c r="BI991">
        <v>8</v>
      </c>
      <c r="BJ991" t="s">
        <v>7282</v>
      </c>
      <c r="BK991" t="s">
        <v>97</v>
      </c>
      <c r="BL991" t="s">
        <v>7283</v>
      </c>
      <c r="BM991" t="s">
        <v>16100</v>
      </c>
      <c r="BN991" t="s">
        <v>74</v>
      </c>
      <c r="BO991" t="s">
        <v>74</v>
      </c>
      <c r="BP991" t="s">
        <v>74</v>
      </c>
      <c r="BQ991" t="s">
        <v>74</v>
      </c>
      <c r="BR991" t="s">
        <v>100</v>
      </c>
      <c r="BS991" t="s">
        <v>16147</v>
      </c>
      <c r="BT991" t="str">
        <f>HYPERLINK("https%3A%2F%2Fwww.webofscience.com%2Fwos%2Fwoscc%2Ffull-record%2FWOS:000248812800005","View Full Record in Web of Science")</f>
        <v>View Full Record in Web of Science</v>
      </c>
    </row>
    <row r="992" spans="1:72" x14ac:dyDescent="0.15">
      <c r="A992" t="s">
        <v>72</v>
      </c>
      <c r="B992" t="s">
        <v>16148</v>
      </c>
      <c r="C992" t="s">
        <v>74</v>
      </c>
      <c r="D992" t="s">
        <v>74</v>
      </c>
      <c r="E992" t="s">
        <v>74</v>
      </c>
      <c r="F992" t="s">
        <v>16149</v>
      </c>
      <c r="G992" t="s">
        <v>74</v>
      </c>
      <c r="H992" t="s">
        <v>74</v>
      </c>
      <c r="I992" t="s">
        <v>16150</v>
      </c>
      <c r="J992" t="s">
        <v>7269</v>
      </c>
      <c r="K992" t="s">
        <v>74</v>
      </c>
      <c r="L992" t="s">
        <v>74</v>
      </c>
      <c r="M992" t="s">
        <v>78</v>
      </c>
      <c r="N992" t="s">
        <v>79</v>
      </c>
      <c r="O992" t="s">
        <v>74</v>
      </c>
      <c r="P992" t="s">
        <v>74</v>
      </c>
      <c r="Q992" t="s">
        <v>74</v>
      </c>
      <c r="R992" t="s">
        <v>74</v>
      </c>
      <c r="S992" t="s">
        <v>74</v>
      </c>
      <c r="T992" t="s">
        <v>74</v>
      </c>
      <c r="U992" t="s">
        <v>16151</v>
      </c>
      <c r="V992" t="s">
        <v>16152</v>
      </c>
      <c r="W992" t="s">
        <v>16153</v>
      </c>
      <c r="X992" t="s">
        <v>16154</v>
      </c>
      <c r="Y992" t="s">
        <v>16155</v>
      </c>
      <c r="Z992" t="s">
        <v>16156</v>
      </c>
      <c r="AA992" t="s">
        <v>16157</v>
      </c>
      <c r="AB992" t="s">
        <v>16158</v>
      </c>
      <c r="AC992" t="s">
        <v>5743</v>
      </c>
      <c r="AD992" t="s">
        <v>242</v>
      </c>
      <c r="AE992" t="s">
        <v>74</v>
      </c>
      <c r="AF992" t="s">
        <v>74</v>
      </c>
      <c r="AG992">
        <v>63</v>
      </c>
      <c r="AH992">
        <v>34</v>
      </c>
      <c r="AI992">
        <v>37</v>
      </c>
      <c r="AJ992">
        <v>1</v>
      </c>
      <c r="AK992">
        <v>18</v>
      </c>
      <c r="AL992" t="s">
        <v>1265</v>
      </c>
      <c r="AM992" t="s">
        <v>662</v>
      </c>
      <c r="AN992" t="s">
        <v>1298</v>
      </c>
      <c r="AO992" t="s">
        <v>7277</v>
      </c>
      <c r="AP992" t="s">
        <v>7278</v>
      </c>
      <c r="AQ992" t="s">
        <v>74</v>
      </c>
      <c r="AR992" t="s">
        <v>7279</v>
      </c>
      <c r="AS992" t="s">
        <v>7280</v>
      </c>
      <c r="AT992" t="s">
        <v>15012</v>
      </c>
      <c r="AU992">
        <v>2007</v>
      </c>
      <c r="AV992">
        <v>30</v>
      </c>
      <c r="AW992">
        <v>10</v>
      </c>
      <c r="AX992" t="s">
        <v>74</v>
      </c>
      <c r="AY992" t="s">
        <v>74</v>
      </c>
      <c r="AZ992" t="s">
        <v>74</v>
      </c>
      <c r="BA992" t="s">
        <v>74</v>
      </c>
      <c r="BB992">
        <v>1265</v>
      </c>
      <c r="BC992">
        <v>1273</v>
      </c>
      <c r="BD992" t="s">
        <v>74</v>
      </c>
      <c r="BE992" t="s">
        <v>16159</v>
      </c>
      <c r="BF992" t="str">
        <f>HYPERLINK("http://dx.doi.org/10.1007/s00300-007-0287-x","http://dx.doi.org/10.1007/s00300-007-0287-x")</f>
        <v>http://dx.doi.org/10.1007/s00300-007-0287-x</v>
      </c>
      <c r="BG992" t="s">
        <v>74</v>
      </c>
      <c r="BH992" t="s">
        <v>74</v>
      </c>
      <c r="BI992">
        <v>9</v>
      </c>
      <c r="BJ992" t="s">
        <v>7282</v>
      </c>
      <c r="BK992" t="s">
        <v>97</v>
      </c>
      <c r="BL992" t="s">
        <v>7283</v>
      </c>
      <c r="BM992" t="s">
        <v>16100</v>
      </c>
      <c r="BN992" t="s">
        <v>74</v>
      </c>
      <c r="BO992" t="s">
        <v>74</v>
      </c>
      <c r="BP992" t="s">
        <v>74</v>
      </c>
      <c r="BQ992" t="s">
        <v>74</v>
      </c>
      <c r="BR992" t="s">
        <v>100</v>
      </c>
      <c r="BS992" t="s">
        <v>16160</v>
      </c>
      <c r="BT992" t="str">
        <f>HYPERLINK("https%3A%2F%2Fwww.webofscience.com%2Fwos%2Fwoscc%2Ffull-record%2FWOS:000248812800007","View Full Record in Web of Science")</f>
        <v>View Full Record in Web of Science</v>
      </c>
    </row>
    <row r="993" spans="1:72" x14ac:dyDescent="0.15">
      <c r="A993" t="s">
        <v>72</v>
      </c>
      <c r="B993" t="s">
        <v>16161</v>
      </c>
      <c r="C993" t="s">
        <v>74</v>
      </c>
      <c r="D993" t="s">
        <v>74</v>
      </c>
      <c r="E993" t="s">
        <v>74</v>
      </c>
      <c r="F993" t="s">
        <v>16162</v>
      </c>
      <c r="G993" t="s">
        <v>74</v>
      </c>
      <c r="H993" t="s">
        <v>74</v>
      </c>
      <c r="I993" t="s">
        <v>16163</v>
      </c>
      <c r="J993" t="s">
        <v>7269</v>
      </c>
      <c r="K993" t="s">
        <v>74</v>
      </c>
      <c r="L993" t="s">
        <v>74</v>
      </c>
      <c r="M993" t="s">
        <v>78</v>
      </c>
      <c r="N993" t="s">
        <v>79</v>
      </c>
      <c r="O993" t="s">
        <v>74</v>
      </c>
      <c r="P993" t="s">
        <v>74</v>
      </c>
      <c r="Q993" t="s">
        <v>74</v>
      </c>
      <c r="R993" t="s">
        <v>74</v>
      </c>
      <c r="S993" t="s">
        <v>74</v>
      </c>
      <c r="T993" t="s">
        <v>16164</v>
      </c>
      <c r="U993" t="s">
        <v>16165</v>
      </c>
      <c r="V993" t="s">
        <v>16166</v>
      </c>
      <c r="W993" t="s">
        <v>6316</v>
      </c>
      <c r="X993" t="s">
        <v>164</v>
      </c>
      <c r="Y993" t="s">
        <v>16167</v>
      </c>
      <c r="Z993" t="s">
        <v>16168</v>
      </c>
      <c r="AA993" t="s">
        <v>74</v>
      </c>
      <c r="AB993" t="s">
        <v>74</v>
      </c>
      <c r="AC993" t="s">
        <v>74</v>
      </c>
      <c r="AD993" t="s">
        <v>74</v>
      </c>
      <c r="AE993" t="s">
        <v>74</v>
      </c>
      <c r="AF993" t="s">
        <v>74</v>
      </c>
      <c r="AG993">
        <v>39</v>
      </c>
      <c r="AH993">
        <v>11</v>
      </c>
      <c r="AI993">
        <v>12</v>
      </c>
      <c r="AJ993">
        <v>0</v>
      </c>
      <c r="AK993">
        <v>14</v>
      </c>
      <c r="AL993" t="s">
        <v>1265</v>
      </c>
      <c r="AM993" t="s">
        <v>662</v>
      </c>
      <c r="AN993" t="s">
        <v>1298</v>
      </c>
      <c r="AO993" t="s">
        <v>7277</v>
      </c>
      <c r="AP993" t="s">
        <v>7278</v>
      </c>
      <c r="AQ993" t="s">
        <v>74</v>
      </c>
      <c r="AR993" t="s">
        <v>7279</v>
      </c>
      <c r="AS993" t="s">
        <v>7280</v>
      </c>
      <c r="AT993" t="s">
        <v>15012</v>
      </c>
      <c r="AU993">
        <v>2007</v>
      </c>
      <c r="AV993">
        <v>30</v>
      </c>
      <c r="AW993">
        <v>10</v>
      </c>
      <c r="AX993" t="s">
        <v>74</v>
      </c>
      <c r="AY993" t="s">
        <v>74</v>
      </c>
      <c r="AZ993" t="s">
        <v>74</v>
      </c>
      <c r="BA993" t="s">
        <v>74</v>
      </c>
      <c r="BB993">
        <v>1275</v>
      </c>
      <c r="BC993">
        <v>1283</v>
      </c>
      <c r="BD993" t="s">
        <v>74</v>
      </c>
      <c r="BE993" t="s">
        <v>16169</v>
      </c>
      <c r="BF993" t="str">
        <f>HYPERLINK("http://dx.doi.org/10.1007/s00300-007-0288-9","http://dx.doi.org/10.1007/s00300-007-0288-9")</f>
        <v>http://dx.doi.org/10.1007/s00300-007-0288-9</v>
      </c>
      <c r="BG993" t="s">
        <v>74</v>
      </c>
      <c r="BH993" t="s">
        <v>74</v>
      </c>
      <c r="BI993">
        <v>9</v>
      </c>
      <c r="BJ993" t="s">
        <v>7282</v>
      </c>
      <c r="BK993" t="s">
        <v>97</v>
      </c>
      <c r="BL993" t="s">
        <v>7283</v>
      </c>
      <c r="BM993" t="s">
        <v>16100</v>
      </c>
      <c r="BN993" t="s">
        <v>74</v>
      </c>
      <c r="BO993" t="s">
        <v>74</v>
      </c>
      <c r="BP993" t="s">
        <v>74</v>
      </c>
      <c r="BQ993" t="s">
        <v>74</v>
      </c>
      <c r="BR993" t="s">
        <v>100</v>
      </c>
      <c r="BS993" t="s">
        <v>16170</v>
      </c>
      <c r="BT993" t="str">
        <f>HYPERLINK("https%3A%2F%2Fwww.webofscience.com%2Fwos%2Fwoscc%2Ffull-record%2FWOS:000248812800008","View Full Record in Web of Science")</f>
        <v>View Full Record in Web of Science</v>
      </c>
    </row>
    <row r="994" spans="1:72" x14ac:dyDescent="0.15">
      <c r="A994" t="s">
        <v>72</v>
      </c>
      <c r="B994" t="s">
        <v>16171</v>
      </c>
      <c r="C994" t="s">
        <v>74</v>
      </c>
      <c r="D994" t="s">
        <v>74</v>
      </c>
      <c r="E994" t="s">
        <v>74</v>
      </c>
      <c r="F994" t="s">
        <v>16172</v>
      </c>
      <c r="G994" t="s">
        <v>74</v>
      </c>
      <c r="H994" t="s">
        <v>74</v>
      </c>
      <c r="I994" t="s">
        <v>16173</v>
      </c>
      <c r="J994" t="s">
        <v>7269</v>
      </c>
      <c r="K994" t="s">
        <v>74</v>
      </c>
      <c r="L994" t="s">
        <v>74</v>
      </c>
      <c r="M994" t="s">
        <v>78</v>
      </c>
      <c r="N994" t="s">
        <v>79</v>
      </c>
      <c r="O994" t="s">
        <v>74</v>
      </c>
      <c r="P994" t="s">
        <v>74</v>
      </c>
      <c r="Q994" t="s">
        <v>74</v>
      </c>
      <c r="R994" t="s">
        <v>74</v>
      </c>
      <c r="S994" t="s">
        <v>74</v>
      </c>
      <c r="T994" t="s">
        <v>16174</v>
      </c>
      <c r="U994" t="s">
        <v>16175</v>
      </c>
      <c r="V994" t="s">
        <v>16176</v>
      </c>
      <c r="W994" t="s">
        <v>16177</v>
      </c>
      <c r="X994" t="s">
        <v>16178</v>
      </c>
      <c r="Y994" t="s">
        <v>16179</v>
      </c>
      <c r="Z994" t="s">
        <v>16180</v>
      </c>
      <c r="AA994" t="s">
        <v>74</v>
      </c>
      <c r="AB994" t="s">
        <v>74</v>
      </c>
      <c r="AC994" t="s">
        <v>74</v>
      </c>
      <c r="AD994" t="s">
        <v>74</v>
      </c>
      <c r="AE994" t="s">
        <v>74</v>
      </c>
      <c r="AF994" t="s">
        <v>74</v>
      </c>
      <c r="AG994">
        <v>61</v>
      </c>
      <c r="AH994">
        <v>12</v>
      </c>
      <c r="AI994">
        <v>13</v>
      </c>
      <c r="AJ994">
        <v>0</v>
      </c>
      <c r="AK994">
        <v>7</v>
      </c>
      <c r="AL994" t="s">
        <v>1265</v>
      </c>
      <c r="AM994" t="s">
        <v>662</v>
      </c>
      <c r="AN994" t="s">
        <v>1298</v>
      </c>
      <c r="AO994" t="s">
        <v>7277</v>
      </c>
      <c r="AP994" t="s">
        <v>7278</v>
      </c>
      <c r="AQ994" t="s">
        <v>74</v>
      </c>
      <c r="AR994" t="s">
        <v>7279</v>
      </c>
      <c r="AS994" t="s">
        <v>7280</v>
      </c>
      <c r="AT994" t="s">
        <v>15012</v>
      </c>
      <c r="AU994">
        <v>2007</v>
      </c>
      <c r="AV994">
        <v>30</v>
      </c>
      <c r="AW994">
        <v>10</v>
      </c>
      <c r="AX994" t="s">
        <v>74</v>
      </c>
      <c r="AY994" t="s">
        <v>74</v>
      </c>
      <c r="AZ994" t="s">
        <v>74</v>
      </c>
      <c r="BA994" t="s">
        <v>74</v>
      </c>
      <c r="BB994">
        <v>1285</v>
      </c>
      <c r="BC994">
        <v>1293</v>
      </c>
      <c r="BD994" t="s">
        <v>74</v>
      </c>
      <c r="BE994" t="s">
        <v>16181</v>
      </c>
      <c r="BF994" t="str">
        <f>HYPERLINK("http://dx.doi.org/10.1007/s00300-007-0289-8","http://dx.doi.org/10.1007/s00300-007-0289-8")</f>
        <v>http://dx.doi.org/10.1007/s00300-007-0289-8</v>
      </c>
      <c r="BG994" t="s">
        <v>74</v>
      </c>
      <c r="BH994" t="s">
        <v>74</v>
      </c>
      <c r="BI994">
        <v>9</v>
      </c>
      <c r="BJ994" t="s">
        <v>7282</v>
      </c>
      <c r="BK994" t="s">
        <v>97</v>
      </c>
      <c r="BL994" t="s">
        <v>7283</v>
      </c>
      <c r="BM994" t="s">
        <v>16100</v>
      </c>
      <c r="BN994" t="s">
        <v>74</v>
      </c>
      <c r="BO994" t="s">
        <v>74</v>
      </c>
      <c r="BP994" t="s">
        <v>74</v>
      </c>
      <c r="BQ994" t="s">
        <v>74</v>
      </c>
      <c r="BR994" t="s">
        <v>100</v>
      </c>
      <c r="BS994" t="s">
        <v>16182</v>
      </c>
      <c r="BT994" t="str">
        <f>HYPERLINK("https%3A%2F%2Fwww.webofscience.com%2Fwos%2Fwoscc%2Ffull-record%2FWOS:000248812800009","View Full Record in Web of Science")</f>
        <v>View Full Record in Web of Science</v>
      </c>
    </row>
    <row r="995" spans="1:72" x14ac:dyDescent="0.15">
      <c r="A995" t="s">
        <v>72</v>
      </c>
      <c r="B995" t="s">
        <v>16183</v>
      </c>
      <c r="C995" t="s">
        <v>74</v>
      </c>
      <c r="D995" t="s">
        <v>74</v>
      </c>
      <c r="E995" t="s">
        <v>74</v>
      </c>
      <c r="F995" t="s">
        <v>16184</v>
      </c>
      <c r="G995" t="s">
        <v>74</v>
      </c>
      <c r="H995" t="s">
        <v>74</v>
      </c>
      <c r="I995" t="s">
        <v>16185</v>
      </c>
      <c r="J995" t="s">
        <v>7269</v>
      </c>
      <c r="K995" t="s">
        <v>74</v>
      </c>
      <c r="L995" t="s">
        <v>74</v>
      </c>
      <c r="M995" t="s">
        <v>78</v>
      </c>
      <c r="N995" t="s">
        <v>79</v>
      </c>
      <c r="O995" t="s">
        <v>74</v>
      </c>
      <c r="P995" t="s">
        <v>74</v>
      </c>
      <c r="Q995" t="s">
        <v>74</v>
      </c>
      <c r="R995" t="s">
        <v>74</v>
      </c>
      <c r="S995" t="s">
        <v>74</v>
      </c>
      <c r="T995" t="s">
        <v>16186</v>
      </c>
      <c r="U995" t="s">
        <v>16187</v>
      </c>
      <c r="V995" t="s">
        <v>16188</v>
      </c>
      <c r="W995" t="s">
        <v>16189</v>
      </c>
      <c r="X995" t="s">
        <v>16190</v>
      </c>
      <c r="Y995" t="s">
        <v>16191</v>
      </c>
      <c r="Z995" t="s">
        <v>16192</v>
      </c>
      <c r="AA995" t="s">
        <v>16193</v>
      </c>
      <c r="AB995" t="s">
        <v>7022</v>
      </c>
      <c r="AC995" t="s">
        <v>74</v>
      </c>
      <c r="AD995" t="s">
        <v>74</v>
      </c>
      <c r="AE995" t="s">
        <v>74</v>
      </c>
      <c r="AF995" t="s">
        <v>74</v>
      </c>
      <c r="AG995">
        <v>50</v>
      </c>
      <c r="AH995">
        <v>28</v>
      </c>
      <c r="AI995">
        <v>31</v>
      </c>
      <c r="AJ995">
        <v>1</v>
      </c>
      <c r="AK995">
        <v>22</v>
      </c>
      <c r="AL995" t="s">
        <v>1265</v>
      </c>
      <c r="AM995" t="s">
        <v>662</v>
      </c>
      <c r="AN995" t="s">
        <v>1298</v>
      </c>
      <c r="AO995" t="s">
        <v>7277</v>
      </c>
      <c r="AP995" t="s">
        <v>7278</v>
      </c>
      <c r="AQ995" t="s">
        <v>74</v>
      </c>
      <c r="AR995" t="s">
        <v>7279</v>
      </c>
      <c r="AS995" t="s">
        <v>7280</v>
      </c>
      <c r="AT995" t="s">
        <v>15012</v>
      </c>
      <c r="AU995">
        <v>2007</v>
      </c>
      <c r="AV995">
        <v>30</v>
      </c>
      <c r="AW995">
        <v>10</v>
      </c>
      <c r="AX995" t="s">
        <v>74</v>
      </c>
      <c r="AY995" t="s">
        <v>74</v>
      </c>
      <c r="AZ995" t="s">
        <v>74</v>
      </c>
      <c r="BA995" t="s">
        <v>74</v>
      </c>
      <c r="BB995">
        <v>1295</v>
      </c>
      <c r="BC995">
        <v>1302</v>
      </c>
      <c r="BD995" t="s">
        <v>74</v>
      </c>
      <c r="BE995" t="s">
        <v>16194</v>
      </c>
      <c r="BF995" t="str">
        <f>HYPERLINK("http://dx.doi.org/10.1007/s00300-007-0290-2","http://dx.doi.org/10.1007/s00300-007-0290-2")</f>
        <v>http://dx.doi.org/10.1007/s00300-007-0290-2</v>
      </c>
      <c r="BG995" t="s">
        <v>74</v>
      </c>
      <c r="BH995" t="s">
        <v>74</v>
      </c>
      <c r="BI995">
        <v>8</v>
      </c>
      <c r="BJ995" t="s">
        <v>7282</v>
      </c>
      <c r="BK995" t="s">
        <v>97</v>
      </c>
      <c r="BL995" t="s">
        <v>7283</v>
      </c>
      <c r="BM995" t="s">
        <v>16100</v>
      </c>
      <c r="BN995" t="s">
        <v>74</v>
      </c>
      <c r="BO995" t="s">
        <v>74</v>
      </c>
      <c r="BP995" t="s">
        <v>74</v>
      </c>
      <c r="BQ995" t="s">
        <v>74</v>
      </c>
      <c r="BR995" t="s">
        <v>100</v>
      </c>
      <c r="BS995" t="s">
        <v>16195</v>
      </c>
      <c r="BT995" t="str">
        <f>HYPERLINK("https%3A%2F%2Fwww.webofscience.com%2Fwos%2Fwoscc%2Ffull-record%2FWOS:000248812800010","View Full Record in Web of Science")</f>
        <v>View Full Record in Web of Science</v>
      </c>
    </row>
    <row r="996" spans="1:72" x14ac:dyDescent="0.15">
      <c r="A996" t="s">
        <v>72</v>
      </c>
      <c r="B996" t="s">
        <v>9959</v>
      </c>
      <c r="C996" t="s">
        <v>74</v>
      </c>
      <c r="D996" t="s">
        <v>74</v>
      </c>
      <c r="E996" t="s">
        <v>74</v>
      </c>
      <c r="F996" t="s">
        <v>9960</v>
      </c>
      <c r="G996" t="s">
        <v>74</v>
      </c>
      <c r="H996" t="s">
        <v>74</v>
      </c>
      <c r="I996" t="s">
        <v>16196</v>
      </c>
      <c r="J996" t="s">
        <v>7269</v>
      </c>
      <c r="K996" t="s">
        <v>74</v>
      </c>
      <c r="L996" t="s">
        <v>74</v>
      </c>
      <c r="M996" t="s">
        <v>78</v>
      </c>
      <c r="N996" t="s">
        <v>79</v>
      </c>
      <c r="O996" t="s">
        <v>74</v>
      </c>
      <c r="P996" t="s">
        <v>74</v>
      </c>
      <c r="Q996" t="s">
        <v>74</v>
      </c>
      <c r="R996" t="s">
        <v>74</v>
      </c>
      <c r="S996" t="s">
        <v>74</v>
      </c>
      <c r="T996" t="s">
        <v>16197</v>
      </c>
      <c r="U996" t="s">
        <v>16198</v>
      </c>
      <c r="V996" t="s">
        <v>16199</v>
      </c>
      <c r="W996" t="s">
        <v>9966</v>
      </c>
      <c r="X996" t="s">
        <v>9967</v>
      </c>
      <c r="Y996" t="s">
        <v>9968</v>
      </c>
      <c r="Z996" t="s">
        <v>16200</v>
      </c>
      <c r="AA996" t="s">
        <v>16201</v>
      </c>
      <c r="AB996" t="s">
        <v>16202</v>
      </c>
      <c r="AC996" t="s">
        <v>5743</v>
      </c>
      <c r="AD996" t="s">
        <v>242</v>
      </c>
      <c r="AE996" t="s">
        <v>74</v>
      </c>
      <c r="AF996" t="s">
        <v>74</v>
      </c>
      <c r="AG996">
        <v>37</v>
      </c>
      <c r="AH996">
        <v>61</v>
      </c>
      <c r="AI996">
        <v>68</v>
      </c>
      <c r="AJ996">
        <v>0</v>
      </c>
      <c r="AK996">
        <v>24</v>
      </c>
      <c r="AL996" t="s">
        <v>1265</v>
      </c>
      <c r="AM996" t="s">
        <v>662</v>
      </c>
      <c r="AN996" t="s">
        <v>7409</v>
      </c>
      <c r="AO996" t="s">
        <v>7277</v>
      </c>
      <c r="AP996" t="s">
        <v>74</v>
      </c>
      <c r="AQ996" t="s">
        <v>74</v>
      </c>
      <c r="AR996" t="s">
        <v>7279</v>
      </c>
      <c r="AS996" t="s">
        <v>7280</v>
      </c>
      <c r="AT996" t="s">
        <v>15012</v>
      </c>
      <c r="AU996">
        <v>2007</v>
      </c>
      <c r="AV996">
        <v>30</v>
      </c>
      <c r="AW996">
        <v>10</v>
      </c>
      <c r="AX996" t="s">
        <v>74</v>
      </c>
      <c r="AY996" t="s">
        <v>74</v>
      </c>
      <c r="AZ996" t="s">
        <v>74</v>
      </c>
      <c r="BA996" t="s">
        <v>74</v>
      </c>
      <c r="BB996">
        <v>1315</v>
      </c>
      <c r="BC996">
        <v>1321</v>
      </c>
      <c r="BD996" t="s">
        <v>74</v>
      </c>
      <c r="BE996" t="s">
        <v>16203</v>
      </c>
      <c r="BF996" t="str">
        <f>HYPERLINK("http://dx.doi.org/10.1007/s00300-007-0292-0","http://dx.doi.org/10.1007/s00300-007-0292-0")</f>
        <v>http://dx.doi.org/10.1007/s00300-007-0292-0</v>
      </c>
      <c r="BG996" t="s">
        <v>74</v>
      </c>
      <c r="BH996" t="s">
        <v>74</v>
      </c>
      <c r="BI996">
        <v>7</v>
      </c>
      <c r="BJ996" t="s">
        <v>7282</v>
      </c>
      <c r="BK996" t="s">
        <v>97</v>
      </c>
      <c r="BL996" t="s">
        <v>7283</v>
      </c>
      <c r="BM996" t="s">
        <v>16100</v>
      </c>
      <c r="BN996" t="s">
        <v>74</v>
      </c>
      <c r="BO996" t="s">
        <v>4003</v>
      </c>
      <c r="BP996" t="s">
        <v>74</v>
      </c>
      <c r="BQ996" t="s">
        <v>74</v>
      </c>
      <c r="BR996" t="s">
        <v>100</v>
      </c>
      <c r="BS996" t="s">
        <v>16204</v>
      </c>
      <c r="BT996" t="str">
        <f>HYPERLINK("https%3A%2F%2Fwww.webofscience.com%2Fwos%2Fwoscc%2Ffull-record%2FWOS:000248812800012","View Full Record in Web of Science")</f>
        <v>View Full Record in Web of Science</v>
      </c>
    </row>
    <row r="997" spans="1:72" x14ac:dyDescent="0.15">
      <c r="A997" t="s">
        <v>72</v>
      </c>
      <c r="B997" t="s">
        <v>16205</v>
      </c>
      <c r="C997" t="s">
        <v>74</v>
      </c>
      <c r="D997" t="s">
        <v>74</v>
      </c>
      <c r="E997" t="s">
        <v>74</v>
      </c>
      <c r="F997" t="s">
        <v>16206</v>
      </c>
      <c r="G997" t="s">
        <v>74</v>
      </c>
      <c r="H997" t="s">
        <v>74</v>
      </c>
      <c r="I997" t="s">
        <v>16207</v>
      </c>
      <c r="J997" t="s">
        <v>7269</v>
      </c>
      <c r="K997" t="s">
        <v>74</v>
      </c>
      <c r="L997" t="s">
        <v>74</v>
      </c>
      <c r="M997" t="s">
        <v>78</v>
      </c>
      <c r="N997" t="s">
        <v>79</v>
      </c>
      <c r="O997" t="s">
        <v>74</v>
      </c>
      <c r="P997" t="s">
        <v>74</v>
      </c>
      <c r="Q997" t="s">
        <v>74</v>
      </c>
      <c r="R997" t="s">
        <v>74</v>
      </c>
      <c r="S997" t="s">
        <v>74</v>
      </c>
      <c r="T997" t="s">
        <v>16208</v>
      </c>
      <c r="U997" t="s">
        <v>16209</v>
      </c>
      <c r="V997" t="s">
        <v>16210</v>
      </c>
      <c r="W997" t="s">
        <v>16211</v>
      </c>
      <c r="X997" t="s">
        <v>7446</v>
      </c>
      <c r="Y997" t="s">
        <v>16212</v>
      </c>
      <c r="Z997" t="s">
        <v>16213</v>
      </c>
      <c r="AA997" t="s">
        <v>16214</v>
      </c>
      <c r="AB997" t="s">
        <v>16215</v>
      </c>
      <c r="AC997" t="s">
        <v>74</v>
      </c>
      <c r="AD997" t="s">
        <v>74</v>
      </c>
      <c r="AE997" t="s">
        <v>74</v>
      </c>
      <c r="AF997" t="s">
        <v>74</v>
      </c>
      <c r="AG997">
        <v>17</v>
      </c>
      <c r="AH997">
        <v>19</v>
      </c>
      <c r="AI997">
        <v>20</v>
      </c>
      <c r="AJ997">
        <v>0</v>
      </c>
      <c r="AK997">
        <v>6</v>
      </c>
      <c r="AL997" t="s">
        <v>1265</v>
      </c>
      <c r="AM997" t="s">
        <v>662</v>
      </c>
      <c r="AN997" t="s">
        <v>1266</v>
      </c>
      <c r="AO997" t="s">
        <v>7277</v>
      </c>
      <c r="AP997" t="s">
        <v>7278</v>
      </c>
      <c r="AQ997" t="s">
        <v>74</v>
      </c>
      <c r="AR997" t="s">
        <v>7279</v>
      </c>
      <c r="AS997" t="s">
        <v>7280</v>
      </c>
      <c r="AT997" t="s">
        <v>15012</v>
      </c>
      <c r="AU997">
        <v>2007</v>
      </c>
      <c r="AV997">
        <v>30</v>
      </c>
      <c r="AW997">
        <v>10</v>
      </c>
      <c r="AX997" t="s">
        <v>74</v>
      </c>
      <c r="AY997" t="s">
        <v>74</v>
      </c>
      <c r="AZ997" t="s">
        <v>74</v>
      </c>
      <c r="BA997" t="s">
        <v>74</v>
      </c>
      <c r="BB997">
        <v>1355</v>
      </c>
      <c r="BC997">
        <v>1358</v>
      </c>
      <c r="BD997" t="s">
        <v>74</v>
      </c>
      <c r="BE997" t="s">
        <v>16216</v>
      </c>
      <c r="BF997" t="str">
        <f>HYPERLINK("http://dx.doi.org/10.1007/s00300-007-0320-0","http://dx.doi.org/10.1007/s00300-007-0320-0")</f>
        <v>http://dx.doi.org/10.1007/s00300-007-0320-0</v>
      </c>
      <c r="BG997" t="s">
        <v>74</v>
      </c>
      <c r="BH997" t="s">
        <v>74</v>
      </c>
      <c r="BI997">
        <v>4</v>
      </c>
      <c r="BJ997" t="s">
        <v>7282</v>
      </c>
      <c r="BK997" t="s">
        <v>97</v>
      </c>
      <c r="BL997" t="s">
        <v>7283</v>
      </c>
      <c r="BM997" t="s">
        <v>16100</v>
      </c>
      <c r="BN997" t="s">
        <v>74</v>
      </c>
      <c r="BO997" t="s">
        <v>74</v>
      </c>
      <c r="BP997" t="s">
        <v>74</v>
      </c>
      <c r="BQ997" t="s">
        <v>74</v>
      </c>
      <c r="BR997" t="s">
        <v>100</v>
      </c>
      <c r="BS997" t="s">
        <v>16217</v>
      </c>
      <c r="BT997" t="str">
        <f>HYPERLINK("https%3A%2F%2Fwww.webofscience.com%2Fwos%2Fwoscc%2Ffull-record%2FWOS:000248812800017","View Full Record in Web of Science")</f>
        <v>View Full Record in Web of Science</v>
      </c>
    </row>
    <row r="998" spans="1:72" x14ac:dyDescent="0.15">
      <c r="A998" t="s">
        <v>72</v>
      </c>
      <c r="B998" t="s">
        <v>16218</v>
      </c>
      <c r="C998" t="s">
        <v>74</v>
      </c>
      <c r="D998" t="s">
        <v>74</v>
      </c>
      <c r="E998" t="s">
        <v>74</v>
      </c>
      <c r="F998" t="s">
        <v>16219</v>
      </c>
      <c r="G998" t="s">
        <v>74</v>
      </c>
      <c r="H998" t="s">
        <v>74</v>
      </c>
      <c r="I998" t="s">
        <v>16220</v>
      </c>
      <c r="J998" t="s">
        <v>7859</v>
      </c>
      <c r="K998" t="s">
        <v>74</v>
      </c>
      <c r="L998" t="s">
        <v>74</v>
      </c>
      <c r="M998" t="s">
        <v>78</v>
      </c>
      <c r="N998" t="s">
        <v>106</v>
      </c>
      <c r="O998" t="s">
        <v>74</v>
      </c>
      <c r="P998" t="s">
        <v>74</v>
      </c>
      <c r="Q998" t="s">
        <v>74</v>
      </c>
      <c r="R998" t="s">
        <v>74</v>
      </c>
      <c r="S998" t="s">
        <v>74</v>
      </c>
      <c r="T998" t="s">
        <v>74</v>
      </c>
      <c r="U998" t="s">
        <v>16221</v>
      </c>
      <c r="V998" t="s">
        <v>16222</v>
      </c>
      <c r="W998" t="s">
        <v>16223</v>
      </c>
      <c r="X998" t="s">
        <v>16224</v>
      </c>
      <c r="Y998" t="s">
        <v>16225</v>
      </c>
      <c r="Z998" t="s">
        <v>16226</v>
      </c>
      <c r="AA998" t="s">
        <v>16227</v>
      </c>
      <c r="AB998" t="s">
        <v>16228</v>
      </c>
      <c r="AC998" t="s">
        <v>74</v>
      </c>
      <c r="AD998" t="s">
        <v>74</v>
      </c>
      <c r="AE998" t="s">
        <v>74</v>
      </c>
      <c r="AF998" t="s">
        <v>74</v>
      </c>
      <c r="AG998">
        <v>124</v>
      </c>
      <c r="AH998">
        <v>281</v>
      </c>
      <c r="AI998">
        <v>316</v>
      </c>
      <c r="AJ998">
        <v>1</v>
      </c>
      <c r="AK998">
        <v>72</v>
      </c>
      <c r="AL998" t="s">
        <v>521</v>
      </c>
      <c r="AM998" t="s">
        <v>522</v>
      </c>
      <c r="AN998" t="s">
        <v>523</v>
      </c>
      <c r="AO998" t="s">
        <v>7868</v>
      </c>
      <c r="AP998" t="s">
        <v>74</v>
      </c>
      <c r="AQ998" t="s">
        <v>74</v>
      </c>
      <c r="AR998" t="s">
        <v>7869</v>
      </c>
      <c r="AS998" t="s">
        <v>7870</v>
      </c>
      <c r="AT998" t="s">
        <v>15012</v>
      </c>
      <c r="AU998">
        <v>2007</v>
      </c>
      <c r="AV998">
        <v>26</v>
      </c>
      <c r="AW998" t="s">
        <v>10220</v>
      </c>
      <c r="AX998" t="s">
        <v>74</v>
      </c>
      <c r="AY998" t="s">
        <v>74</v>
      </c>
      <c r="AZ998" t="s">
        <v>74</v>
      </c>
      <c r="BA998" t="s">
        <v>74</v>
      </c>
      <c r="BB998">
        <v>2090</v>
      </c>
      <c r="BC998">
        <v>2112</v>
      </c>
      <c r="BD998" t="s">
        <v>74</v>
      </c>
      <c r="BE998" t="s">
        <v>16229</v>
      </c>
      <c r="BF998" t="str">
        <f>HYPERLINK("http://dx.doi.org/10.1016/j.quascirev.2007.06.019","http://dx.doi.org/10.1016/j.quascirev.2007.06.019")</f>
        <v>http://dx.doi.org/10.1016/j.quascirev.2007.06.019</v>
      </c>
      <c r="BG998" t="s">
        <v>74</v>
      </c>
      <c r="BH998" t="s">
        <v>74</v>
      </c>
      <c r="BI998">
        <v>23</v>
      </c>
      <c r="BJ998" t="s">
        <v>2748</v>
      </c>
      <c r="BK998" t="s">
        <v>97</v>
      </c>
      <c r="BL998" t="s">
        <v>2749</v>
      </c>
      <c r="BM998" t="s">
        <v>16230</v>
      </c>
      <c r="BN998" t="s">
        <v>74</v>
      </c>
      <c r="BO998" t="s">
        <v>3777</v>
      </c>
      <c r="BP998" t="s">
        <v>74</v>
      </c>
      <c r="BQ998" t="s">
        <v>74</v>
      </c>
      <c r="BR998" t="s">
        <v>100</v>
      </c>
      <c r="BS998" t="s">
        <v>16231</v>
      </c>
      <c r="BT998" t="str">
        <f>HYPERLINK("https%3A%2F%2Fwww.webofscience.com%2Fwos%2Fwoscc%2Ffull-record%2FWOS:000251378800005","View Full Record in Web of Science")</f>
        <v>View Full Record in Web of Science</v>
      </c>
    </row>
    <row r="999" spans="1:72" x14ac:dyDescent="0.15">
      <c r="A999" t="s">
        <v>72</v>
      </c>
      <c r="B999" t="s">
        <v>16232</v>
      </c>
      <c r="C999" t="s">
        <v>74</v>
      </c>
      <c r="D999" t="s">
        <v>74</v>
      </c>
      <c r="E999" t="s">
        <v>74</v>
      </c>
      <c r="F999" t="s">
        <v>16233</v>
      </c>
      <c r="G999" t="s">
        <v>74</v>
      </c>
      <c r="H999" t="s">
        <v>74</v>
      </c>
      <c r="I999" t="s">
        <v>16234</v>
      </c>
      <c r="J999" t="s">
        <v>7859</v>
      </c>
      <c r="K999" t="s">
        <v>74</v>
      </c>
      <c r="L999" t="s">
        <v>74</v>
      </c>
      <c r="M999" t="s">
        <v>78</v>
      </c>
      <c r="N999" t="s">
        <v>79</v>
      </c>
      <c r="O999" t="s">
        <v>74</v>
      </c>
      <c r="P999" t="s">
        <v>74</v>
      </c>
      <c r="Q999" t="s">
        <v>74</v>
      </c>
      <c r="R999" t="s">
        <v>74</v>
      </c>
      <c r="S999" t="s">
        <v>74</v>
      </c>
      <c r="T999" t="s">
        <v>74</v>
      </c>
      <c r="U999" t="s">
        <v>16235</v>
      </c>
      <c r="V999" t="s">
        <v>16236</v>
      </c>
      <c r="W999" t="s">
        <v>16237</v>
      </c>
      <c r="X999" t="s">
        <v>16238</v>
      </c>
      <c r="Y999" t="s">
        <v>16239</v>
      </c>
      <c r="Z999" t="s">
        <v>16240</v>
      </c>
      <c r="AA999" t="s">
        <v>16241</v>
      </c>
      <c r="AB999" t="s">
        <v>16242</v>
      </c>
      <c r="AC999" t="s">
        <v>74</v>
      </c>
      <c r="AD999" t="s">
        <v>74</v>
      </c>
      <c r="AE999" t="s">
        <v>74</v>
      </c>
      <c r="AF999" t="s">
        <v>74</v>
      </c>
      <c r="AG999">
        <v>58</v>
      </c>
      <c r="AH999">
        <v>54</v>
      </c>
      <c r="AI999">
        <v>62</v>
      </c>
      <c r="AJ999">
        <v>0</v>
      </c>
      <c r="AK999">
        <v>9</v>
      </c>
      <c r="AL999" t="s">
        <v>521</v>
      </c>
      <c r="AM999" t="s">
        <v>522</v>
      </c>
      <c r="AN999" t="s">
        <v>523</v>
      </c>
      <c r="AO999" t="s">
        <v>7868</v>
      </c>
      <c r="AP999" t="s">
        <v>74</v>
      </c>
      <c r="AQ999" t="s">
        <v>74</v>
      </c>
      <c r="AR999" t="s">
        <v>7869</v>
      </c>
      <c r="AS999" t="s">
        <v>7870</v>
      </c>
      <c r="AT999" t="s">
        <v>15012</v>
      </c>
      <c r="AU999">
        <v>2007</v>
      </c>
      <c r="AV999">
        <v>26</v>
      </c>
      <c r="AW999" t="s">
        <v>10220</v>
      </c>
      <c r="AX999" t="s">
        <v>74</v>
      </c>
      <c r="AY999" t="s">
        <v>74</v>
      </c>
      <c r="AZ999" t="s">
        <v>74</v>
      </c>
      <c r="BA999" t="s">
        <v>74</v>
      </c>
      <c r="BB999">
        <v>2113</v>
      </c>
      <c r="BC999">
        <v>2127</v>
      </c>
      <c r="BD999" t="s">
        <v>74</v>
      </c>
      <c r="BE999" t="s">
        <v>16243</v>
      </c>
      <c r="BF999" t="str">
        <f>HYPERLINK("http://dx.doi.org/10.1016/j.quascirev.2007.06.011","http://dx.doi.org/10.1016/j.quascirev.2007.06.011")</f>
        <v>http://dx.doi.org/10.1016/j.quascirev.2007.06.011</v>
      </c>
      <c r="BG999" t="s">
        <v>74</v>
      </c>
      <c r="BH999" t="s">
        <v>74</v>
      </c>
      <c r="BI999">
        <v>15</v>
      </c>
      <c r="BJ999" t="s">
        <v>2748</v>
      </c>
      <c r="BK999" t="s">
        <v>97</v>
      </c>
      <c r="BL999" t="s">
        <v>2749</v>
      </c>
      <c r="BM999" t="s">
        <v>16230</v>
      </c>
      <c r="BN999" t="s">
        <v>74</v>
      </c>
      <c r="BO999" t="s">
        <v>74</v>
      </c>
      <c r="BP999" t="s">
        <v>74</v>
      </c>
      <c r="BQ999" t="s">
        <v>74</v>
      </c>
      <c r="BR999" t="s">
        <v>100</v>
      </c>
      <c r="BS999" t="s">
        <v>16244</v>
      </c>
      <c r="BT999" t="str">
        <f>HYPERLINK("https%3A%2F%2Fwww.webofscience.com%2Fwos%2Fwoscc%2Ffull-record%2FWOS:000251378800006","View Full Record in Web of Science")</f>
        <v>View Full Record in Web of Science</v>
      </c>
    </row>
    <row r="1000" spans="1:72" x14ac:dyDescent="0.15">
      <c r="A1000" t="s">
        <v>72</v>
      </c>
      <c r="B1000" t="s">
        <v>16245</v>
      </c>
      <c r="C1000" t="s">
        <v>74</v>
      </c>
      <c r="D1000" t="s">
        <v>74</v>
      </c>
      <c r="E1000" t="s">
        <v>74</v>
      </c>
      <c r="F1000" t="s">
        <v>16246</v>
      </c>
      <c r="G1000" t="s">
        <v>74</v>
      </c>
      <c r="H1000" t="s">
        <v>74</v>
      </c>
      <c r="I1000" t="s">
        <v>16247</v>
      </c>
      <c r="J1000" t="s">
        <v>16248</v>
      </c>
      <c r="K1000" t="s">
        <v>74</v>
      </c>
      <c r="L1000" t="s">
        <v>74</v>
      </c>
      <c r="M1000" t="s">
        <v>78</v>
      </c>
      <c r="N1000" t="s">
        <v>79</v>
      </c>
      <c r="O1000" t="s">
        <v>74</v>
      </c>
      <c r="P1000" t="s">
        <v>74</v>
      </c>
      <c r="Q1000" t="s">
        <v>74</v>
      </c>
      <c r="R1000" t="s">
        <v>74</v>
      </c>
      <c r="S1000" t="s">
        <v>74</v>
      </c>
      <c r="T1000" t="s">
        <v>16249</v>
      </c>
      <c r="U1000" t="s">
        <v>74</v>
      </c>
      <c r="V1000" t="s">
        <v>16250</v>
      </c>
      <c r="W1000" t="s">
        <v>16251</v>
      </c>
      <c r="X1000" t="s">
        <v>16252</v>
      </c>
      <c r="Y1000" t="s">
        <v>16253</v>
      </c>
      <c r="Z1000" t="s">
        <v>16254</v>
      </c>
      <c r="AA1000" t="s">
        <v>74</v>
      </c>
      <c r="AB1000" t="s">
        <v>74</v>
      </c>
      <c r="AC1000" t="s">
        <v>74</v>
      </c>
      <c r="AD1000" t="s">
        <v>74</v>
      </c>
      <c r="AE1000" t="s">
        <v>74</v>
      </c>
      <c r="AF1000" t="s">
        <v>74</v>
      </c>
      <c r="AG1000">
        <v>60</v>
      </c>
      <c r="AH1000">
        <v>13</v>
      </c>
      <c r="AI1000">
        <v>13</v>
      </c>
      <c r="AJ1000">
        <v>0</v>
      </c>
      <c r="AK1000">
        <v>12</v>
      </c>
      <c r="AL1000" t="s">
        <v>16255</v>
      </c>
      <c r="AM1000" t="s">
        <v>16256</v>
      </c>
      <c r="AN1000" t="s">
        <v>16257</v>
      </c>
      <c r="AO1000" t="s">
        <v>16258</v>
      </c>
      <c r="AP1000" t="s">
        <v>74</v>
      </c>
      <c r="AQ1000" t="s">
        <v>74</v>
      </c>
      <c r="AR1000" t="s">
        <v>16259</v>
      </c>
      <c r="AS1000" t="s">
        <v>16260</v>
      </c>
      <c r="AT1000" t="s">
        <v>15012</v>
      </c>
      <c r="AU1000">
        <v>2007</v>
      </c>
      <c r="AV1000">
        <v>24</v>
      </c>
      <c r="AW1000">
        <v>3</v>
      </c>
      <c r="AX1000" t="s">
        <v>74</v>
      </c>
      <c r="AY1000" t="s">
        <v>74</v>
      </c>
      <c r="AZ1000" t="s">
        <v>74</v>
      </c>
      <c r="BA1000" t="s">
        <v>74</v>
      </c>
      <c r="BB1000">
        <v>687</v>
      </c>
      <c r="BC1000">
        <v>708</v>
      </c>
      <c r="BD1000" t="s">
        <v>74</v>
      </c>
      <c r="BE1000" t="s">
        <v>16261</v>
      </c>
      <c r="BF1000" t="str">
        <f>HYPERLINK("http://dx.doi.org/10.1590/S0101-81752007000300021","http://dx.doi.org/10.1590/S0101-81752007000300021")</f>
        <v>http://dx.doi.org/10.1590/S0101-81752007000300021</v>
      </c>
      <c r="BG1000" t="s">
        <v>74</v>
      </c>
      <c r="BH1000" t="s">
        <v>74</v>
      </c>
      <c r="BI1000">
        <v>22</v>
      </c>
      <c r="BJ1000" t="s">
        <v>4825</v>
      </c>
      <c r="BK1000" t="s">
        <v>97</v>
      </c>
      <c r="BL1000" t="s">
        <v>4825</v>
      </c>
      <c r="BM1000" t="s">
        <v>16262</v>
      </c>
      <c r="BN1000" t="s">
        <v>74</v>
      </c>
      <c r="BO1000" t="s">
        <v>1681</v>
      </c>
      <c r="BP1000" t="s">
        <v>74</v>
      </c>
      <c r="BQ1000" t="s">
        <v>74</v>
      </c>
      <c r="BR1000" t="s">
        <v>100</v>
      </c>
      <c r="BS1000" t="s">
        <v>16263</v>
      </c>
      <c r="BT1000" t="str">
        <f>HYPERLINK("https%3A%2F%2Fwww.webofscience.com%2Fwos%2Fwoscc%2Ffull-record%2FWOS:000250209400021","View Full Record in Web of Science")</f>
        <v>View Full Record in Web of Science</v>
      </c>
    </row>
    <row r="1001" spans="1:72" x14ac:dyDescent="0.15">
      <c r="A1001" t="s">
        <v>72</v>
      </c>
      <c r="B1001" t="s">
        <v>16245</v>
      </c>
      <c r="C1001" t="s">
        <v>74</v>
      </c>
      <c r="D1001" t="s">
        <v>74</v>
      </c>
      <c r="E1001" t="s">
        <v>74</v>
      </c>
      <c r="F1001" t="s">
        <v>16246</v>
      </c>
      <c r="G1001" t="s">
        <v>74</v>
      </c>
      <c r="H1001" t="s">
        <v>74</v>
      </c>
      <c r="I1001" t="s">
        <v>16264</v>
      </c>
      <c r="J1001" t="s">
        <v>16248</v>
      </c>
      <c r="K1001" t="s">
        <v>74</v>
      </c>
      <c r="L1001" t="s">
        <v>74</v>
      </c>
      <c r="M1001" t="s">
        <v>78</v>
      </c>
      <c r="N1001" t="s">
        <v>79</v>
      </c>
      <c r="O1001" t="s">
        <v>74</v>
      </c>
      <c r="P1001" t="s">
        <v>74</v>
      </c>
      <c r="Q1001" t="s">
        <v>74</v>
      </c>
      <c r="R1001" t="s">
        <v>74</v>
      </c>
      <c r="S1001" t="s">
        <v>74</v>
      </c>
      <c r="T1001" t="s">
        <v>16265</v>
      </c>
      <c r="U1001" t="s">
        <v>16266</v>
      </c>
      <c r="V1001" t="s">
        <v>16267</v>
      </c>
      <c r="W1001" t="s">
        <v>16268</v>
      </c>
      <c r="X1001" t="s">
        <v>16269</v>
      </c>
      <c r="Y1001" t="s">
        <v>16270</v>
      </c>
      <c r="Z1001" t="s">
        <v>16254</v>
      </c>
      <c r="AA1001" t="s">
        <v>74</v>
      </c>
      <c r="AB1001" t="s">
        <v>74</v>
      </c>
      <c r="AC1001" t="s">
        <v>74</v>
      </c>
      <c r="AD1001" t="s">
        <v>74</v>
      </c>
      <c r="AE1001" t="s">
        <v>74</v>
      </c>
      <c r="AF1001" t="s">
        <v>74</v>
      </c>
      <c r="AG1001">
        <v>56</v>
      </c>
      <c r="AH1001">
        <v>10</v>
      </c>
      <c r="AI1001">
        <v>10</v>
      </c>
      <c r="AJ1001">
        <v>1</v>
      </c>
      <c r="AK1001">
        <v>3</v>
      </c>
      <c r="AL1001" t="s">
        <v>16255</v>
      </c>
      <c r="AM1001" t="s">
        <v>16256</v>
      </c>
      <c r="AN1001" t="s">
        <v>16257</v>
      </c>
      <c r="AO1001" t="s">
        <v>16258</v>
      </c>
      <c r="AP1001" t="s">
        <v>74</v>
      </c>
      <c r="AQ1001" t="s">
        <v>74</v>
      </c>
      <c r="AR1001" t="s">
        <v>16259</v>
      </c>
      <c r="AS1001" t="s">
        <v>16260</v>
      </c>
      <c r="AT1001" t="s">
        <v>15012</v>
      </c>
      <c r="AU1001">
        <v>2007</v>
      </c>
      <c r="AV1001">
        <v>24</v>
      </c>
      <c r="AW1001">
        <v>3</v>
      </c>
      <c r="AX1001" t="s">
        <v>74</v>
      </c>
      <c r="AY1001" t="s">
        <v>74</v>
      </c>
      <c r="AZ1001" t="s">
        <v>74</v>
      </c>
      <c r="BA1001" t="s">
        <v>74</v>
      </c>
      <c r="BB1001">
        <v>742</v>
      </c>
      <c r="BC1001">
        <v>770</v>
      </c>
      <c r="BD1001" t="s">
        <v>74</v>
      </c>
      <c r="BE1001" t="s">
        <v>16271</v>
      </c>
      <c r="BF1001" t="str">
        <f>HYPERLINK("http://dx.doi.org/10.1590/S0101-81752007000300027","http://dx.doi.org/10.1590/S0101-81752007000300027")</f>
        <v>http://dx.doi.org/10.1590/S0101-81752007000300027</v>
      </c>
      <c r="BG1001" t="s">
        <v>74</v>
      </c>
      <c r="BH1001" t="s">
        <v>74</v>
      </c>
      <c r="BI1001">
        <v>29</v>
      </c>
      <c r="BJ1001" t="s">
        <v>4825</v>
      </c>
      <c r="BK1001" t="s">
        <v>97</v>
      </c>
      <c r="BL1001" t="s">
        <v>4825</v>
      </c>
      <c r="BM1001" t="s">
        <v>16262</v>
      </c>
      <c r="BN1001" t="s">
        <v>74</v>
      </c>
      <c r="BO1001" t="s">
        <v>16272</v>
      </c>
      <c r="BP1001" t="s">
        <v>74</v>
      </c>
      <c r="BQ1001" t="s">
        <v>74</v>
      </c>
      <c r="BR1001" t="s">
        <v>100</v>
      </c>
      <c r="BS1001" t="s">
        <v>16273</v>
      </c>
      <c r="BT1001" t="str">
        <f>HYPERLINK("https%3A%2F%2Fwww.webofscience.com%2Fwos%2Fwoscc%2Ffull-record%2FWOS:000250209400027","View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2024-07-28T15:26:21Z</dcterms:created>
  <dcterms:modified xsi:type="dcterms:W3CDTF">2024-07-28T15:26:21Z</dcterms:modified>
</cp:coreProperties>
</file>